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55" activeTab="2"/>
  </bookViews>
  <sheets>
    <sheet name="FCC Data" sheetId="1" r:id="rId1"/>
    <sheet name="Comments" sheetId="2" r:id="rId2"/>
    <sheet name="Comments (2)" sheetId="3" r:id="rId3"/>
    <sheet name="Ex Parte" sheetId="4" r:id="rId4"/>
    <sheet name="Reply Comments" sheetId="5" r:id="rId5"/>
    <sheet name="Counts" sheetId="6" r:id="rId6"/>
  </sheets>
  <definedNames/>
  <calcPr fullCalcOnLoad="1"/>
</workbook>
</file>

<file path=xl/sharedStrings.xml><?xml version="1.0" encoding="utf-8"?>
<sst xmlns="http://schemas.openxmlformats.org/spreadsheetml/2006/main" count="15813" uniqueCount="1168">
  <si>
    <t>Name of Filer</t>
  </si>
  <si>
    <t>Lawfirm Name</t>
  </si>
  <si>
    <t>Date Received</t>
  </si>
  <si>
    <t>Date Posted</t>
  </si>
  <si>
    <t>Exparte</t>
  </si>
  <si>
    <t>Type of Filing</t>
  </si>
  <si>
    <t>13-184</t>
  </si>
  <si>
    <t>Duval County</t>
  </si>
  <si>
    <t/>
  </si>
  <si>
    <t>09/17/2013</t>
  </si>
  <si>
    <t>N</t>
  </si>
  <si>
    <t>COMMENT</t>
  </si>
  <si>
    <t>Lilianna Prez</t>
  </si>
  <si>
    <t>Philip Decker</t>
  </si>
  <si>
    <t>Joy Pedersen</t>
  </si>
  <si>
    <t>International Center for Law and Economics &amp; TechFreedom</t>
  </si>
  <si>
    <t>2910 NE 42nd Ave.</t>
  </si>
  <si>
    <t>Gary Grant</t>
  </si>
  <si>
    <t>Frank Pileiro</t>
  </si>
  <si>
    <t>Carol Glanville</t>
  </si>
  <si>
    <t>isaac fajerman</t>
  </si>
  <si>
    <t>09/16/2013</t>
  </si>
  <si>
    <t>eBackpack, Inc.</t>
  </si>
  <si>
    <t>Xirrus,Inc.</t>
  </si>
  <si>
    <t>2101 Corporate Center Dr.</t>
  </si>
  <si>
    <t>Wisconsin Rapids Public Schools</t>
  </si>
  <si>
    <t>Wireless Internet Service Providers Association</t>
  </si>
  <si>
    <t>Lerman Senter PLLC</t>
  </si>
  <si>
    <t>Windstream Corporation</t>
  </si>
  <si>
    <t>West Virginia Department of Education</t>
  </si>
  <si>
    <t>Weslaco Independent School District</t>
  </si>
  <si>
    <t>Walt Griffin</t>
  </si>
  <si>
    <t>400 East Lake Mary Blvd</t>
  </si>
  <si>
    <t>Walla Walla School District, 145545</t>
  </si>
  <si>
    <t>Virginia Irwin</t>
  </si>
  <si>
    <t>Verizon and Verizon Wireless</t>
  </si>
  <si>
    <t>VectorUSA</t>
  </si>
  <si>
    <t>Urban Libraries Council</t>
  </si>
  <si>
    <t>United Systems, Inc</t>
  </si>
  <si>
    <t>United States Cellular Corporation</t>
  </si>
  <si>
    <t>Lukas, Nace, Gutierrez &amp; Sachs, LLP</t>
  </si>
  <si>
    <t>Twyla Barnes</t>
  </si>
  <si>
    <t>Tracy Jenner</t>
  </si>
  <si>
    <t>Toutle Lake School District</t>
  </si>
  <si>
    <t>The Leadership Conference on Civil and Human Rights</t>
  </si>
  <si>
    <t>The GE Foundation, National Public Education Support Fund, Nellie Mae Education</t>
  </si>
  <si>
    <t>Telecommunications Industry Association</t>
  </si>
  <si>
    <t>Tamalyn C. Butcke</t>
  </si>
  <si>
    <t>Suzanne Reymer</t>
  </si>
  <si>
    <t>Susan Brown</t>
  </si>
  <si>
    <t>Sue Cleveland</t>
  </si>
  <si>
    <t>Stein Brunvand</t>
  </si>
  <si>
    <t>State of Hawaii</t>
  </si>
  <si>
    <t>Squire Sanders (US) LLP</t>
  </si>
  <si>
    <t>State of Arkansas</t>
  </si>
  <si>
    <t>State of Alaska</t>
  </si>
  <si>
    <t>State Educational Technology Directors Association (SETDA)</t>
  </si>
  <si>
    <t>State E-rate Coordinators' Alliance</t>
  </si>
  <si>
    <t>Mississippi Department for Information Services</t>
  </si>
  <si>
    <t>State Consortia Group (SCG)</t>
  </si>
  <si>
    <t>Sprint Corp.</t>
  </si>
  <si>
    <t>South Dakota Dep't of Education and Bureau of Information and Telecommunications</t>
  </si>
  <si>
    <t>SmartEdgeNet, LLC</t>
  </si>
  <si>
    <t>Davis Wright Tremaine LLP</t>
  </si>
  <si>
    <t>Shana Long</t>
  </si>
  <si>
    <t>Sean Adcroft</t>
  </si>
  <si>
    <t>Scott Walter</t>
  </si>
  <si>
    <t>Schoolwires, Inc.</t>
  </si>
  <si>
    <t>Davis Wright Tremaine, LLP</t>
  </si>
  <si>
    <t>School District of Philadelphia</t>
  </si>
  <si>
    <t>School District of Lancaster</t>
  </si>
  <si>
    <t>San Mateo County Office of Education</t>
  </si>
  <si>
    <t>San Jacinto Unified School District</t>
  </si>
  <si>
    <t>Safari MONTAGE</t>
  </si>
  <si>
    <t>Chadbourne &amp; Parke LLP</t>
  </si>
  <si>
    <t>SHLB Coalition</t>
  </si>
  <si>
    <t>Ryan Gallwitz</t>
  </si>
  <si>
    <t>Robert W. Peters</t>
  </si>
  <si>
    <t>Robert Moorhead</t>
  </si>
  <si>
    <t>Robert Moody</t>
  </si>
  <si>
    <t>Robert Hill</t>
  </si>
  <si>
    <t>Rick Howard</t>
  </si>
  <si>
    <t>Richard Prine</t>
  </si>
  <si>
    <t>Richard Hershman</t>
  </si>
  <si>
    <t>Richard Fry</t>
  </si>
  <si>
    <t>Rhonda Dickey</t>
  </si>
  <si>
    <t>Reuben Sanders</t>
  </si>
  <si>
    <t>QUALCOMM Incorporated</t>
  </si>
  <si>
    <t>Puerto Rico Broadband Taskforce</t>
  </si>
  <si>
    <t>Project Tomorrow</t>
  </si>
  <si>
    <t>Prof. Soloway, University of Michigan &amp; Prof. Norris, University of North Texas</t>
  </si>
  <si>
    <t>Philip B. Gieseler</t>
  </si>
  <si>
    <t>Pamela H. Tucker</t>
  </si>
  <si>
    <t>Pamela Bass</t>
  </si>
  <si>
    <t>PCIA - The Wireless Infrastructure Association &amp; the HetNet Forum</t>
  </si>
  <si>
    <t>PA Association of Intermediate Units (PAIU)</t>
  </si>
  <si>
    <t>OneCommunity</t>
  </si>
  <si>
    <t>New_Classrooms.org</t>
  </si>
  <si>
    <t>New York City Department of Education</t>
  </si>
  <si>
    <t>New Hope Technology Foundation</t>
  </si>
  <si>
    <t>New America Foundation - Open Technology Institute and Education Policy Program</t>
  </si>
  <si>
    <t>Nebraska Office of the CIO</t>
  </si>
  <si>
    <t>Navajo Nation Telecommunications Regulatory Commission</t>
  </si>
  <si>
    <t>Mobius Legal Group, PLLC</t>
  </si>
  <si>
    <t>National Indian Education Association</t>
  </si>
  <si>
    <t>National Hispanic Media Coalition</t>
  </si>
  <si>
    <t>National Education Association</t>
  </si>
  <si>
    <t>National Cable &amp; Telecommunications Association</t>
  </si>
  <si>
    <t>National Association of Elementary School Principals</t>
  </si>
  <si>
    <t>Nathan Davidson</t>
  </si>
  <si>
    <t>Nan York</t>
  </si>
  <si>
    <t>NTCA and WTA</t>
  </si>
  <si>
    <t>NACEPF</t>
  </si>
  <si>
    <t>Law Office of Suzanne S. Goodwyn</t>
  </si>
  <si>
    <t>Myra Best</t>
  </si>
  <si>
    <t>Mike Schmidt</t>
  </si>
  <si>
    <t>Mike Hebenthal</t>
  </si>
  <si>
    <t>Michael Resnick</t>
  </si>
  <si>
    <t>Michael Critchfield</t>
  </si>
  <si>
    <t>Melissa Brokenshire</t>
  </si>
  <si>
    <t>McGraw-Hill Education</t>
  </si>
  <si>
    <t>Patton Boggs LLP</t>
  </si>
  <si>
    <t>Massachusetts Department of Telecommunications and Cable</t>
  </si>
  <si>
    <t>Marsha Lambert</t>
  </si>
  <si>
    <t>Mark Froke</t>
  </si>
  <si>
    <t>MMTC, Rainbow PUSH, LULAC</t>
  </si>
  <si>
    <t>David Honig</t>
  </si>
  <si>
    <t>ERRATA, ERRATUM OR ADDENDUM</t>
  </si>
  <si>
    <t>Lucky McCrary</t>
  </si>
  <si>
    <t>Lisa E. Connelly</t>
  </si>
  <si>
    <t>Lancaster Lebanon Intermediate Unit 13</t>
  </si>
  <si>
    <t>LTS Buyer LLC, Unite Private Networks, LLC and Fibertech Networks, LLC</t>
  </si>
  <si>
    <t>Bingham McCutchen LLP</t>
  </si>
  <si>
    <t>LEAD Commission</t>
  </si>
  <si>
    <t>Kraig Michels</t>
  </si>
  <si>
    <t>Knox County Schools</t>
  </si>
  <si>
    <t>Kimberly Kern</t>
  </si>
  <si>
    <t>Kevin Matteson - Network Services Manager Tulare County Office of Education (ret</t>
  </si>
  <si>
    <t>Kentucky Department of Education</t>
  </si>
  <si>
    <t>Kellogg &amp; Sovereign Consulting</t>
  </si>
  <si>
    <t>Kelli Lane</t>
  </si>
  <si>
    <t>Keith Shaffer</t>
  </si>
  <si>
    <t>Kathy Pryor</t>
  </si>
  <si>
    <t>Kate Matthews</t>
  </si>
  <si>
    <t>Karen Salmon</t>
  </si>
  <si>
    <t>Karen Almond</t>
  </si>
  <si>
    <t>Julie James</t>
  </si>
  <si>
    <t>Joshua Lewis</t>
  </si>
  <si>
    <t>Joseph Barrow</t>
  </si>
  <si>
    <t>Jonathan Tanner</t>
  </si>
  <si>
    <t>John M. Wade</t>
  </si>
  <si>
    <t>John Jennings</t>
  </si>
  <si>
    <t>John Bourque</t>
  </si>
  <si>
    <t>John Alawneh</t>
  </si>
  <si>
    <t>Jocelyn Bissonnette</t>
  </si>
  <si>
    <t>Joan Schuman</t>
  </si>
  <si>
    <t>Jive Communications, Inc.</t>
  </si>
  <si>
    <t>Jessica Kearley</t>
  </si>
  <si>
    <t>Jerry White</t>
  </si>
  <si>
    <t>Jeff Jennings</t>
  </si>
  <si>
    <t>Jeanette Neyman</t>
  </si>
  <si>
    <t>James Evans</t>
  </si>
  <si>
    <t>Jackie Kathary</t>
  </si>
  <si>
    <t>Iowa Department of Education</t>
  </si>
  <si>
    <t>ITTA - The Independent Telephone &amp; Telecommunications Alliance</t>
  </si>
  <si>
    <t>IMPERIAL COUNTY OFFICE OF EDUCATION</t>
  </si>
  <si>
    <t>Humboldt County Office of Education Rural Telecommunications Consortium</t>
  </si>
  <si>
    <t>Hispanic Information and Telecommunications Network, Inc.</t>
  </si>
  <si>
    <t>Law Offices of Evan D. Carb, PLLC</t>
  </si>
  <si>
    <t>Hewlett-Packard Company</t>
  </si>
  <si>
    <t>Covington &amp; Burling LLP</t>
  </si>
  <si>
    <t>Helio Brasil</t>
  </si>
  <si>
    <t>Helene Cirrincione</t>
  </si>
  <si>
    <t>Health Information Exchange of Montana</t>
  </si>
  <si>
    <t>Lukas Nace Gutierrez &amp; Sachs LLP</t>
  </si>
  <si>
    <t>Gregg Spivey</t>
  </si>
  <si>
    <t>Gray Salada</t>
  </si>
  <si>
    <t>General Communication, Inc.</t>
  </si>
  <si>
    <t>Wiltshire &amp; Grannis LLP</t>
  </si>
  <si>
    <t>Gary Shuman</t>
  </si>
  <si>
    <t>LETTER</t>
  </si>
  <si>
    <t>Garrett Miller</t>
  </si>
  <si>
    <t>Gaggle.Net, Inc.</t>
  </si>
  <si>
    <t>Funds For Learning, LLC</t>
  </si>
  <si>
    <t>Frank Barnes</t>
  </si>
  <si>
    <t>Florida Department of Management Services Division of Telecommunications</t>
  </si>
  <si>
    <t>Elliot Soloway</t>
  </si>
  <si>
    <t>EducationSuperHighway</t>
  </si>
  <si>
    <t>Education Networks of America,Inc.</t>
  </si>
  <si>
    <t>Education Coalition</t>
  </si>
  <si>
    <t>Education &amp; Libraries Networks Coalition</t>
  </si>
  <si>
    <t>Edline, LLC d/b/a Blackboard Engage</t>
  </si>
  <si>
    <t>E-rate Service Providers Association (ESPA)</t>
  </si>
  <si>
    <t>E-rate Reform Coalition</t>
  </si>
  <si>
    <t>Fish &amp; Richardson P.C.</t>
  </si>
  <si>
    <t>E-Rate Management Professionals Association</t>
  </si>
  <si>
    <t>E-Rate Central</t>
  </si>
  <si>
    <t>E-Rate &amp; Educational Services, LLC</t>
  </si>
  <si>
    <t>Dr. Barbara Nemko</t>
  </si>
  <si>
    <t>Donna Ottaviano</t>
  </si>
  <si>
    <t>Dawn Blankenship</t>
  </si>
  <si>
    <t>David Pennington</t>
  </si>
  <si>
    <t>David Ayersman</t>
  </si>
  <si>
    <t>Daniel Brown</t>
  </si>
  <si>
    <t>Dan Kleinman</t>
  </si>
  <si>
    <t>Dan Hicks</t>
  </si>
  <si>
    <t>Curtis Finch</t>
  </si>
  <si>
    <t>Crispus Attucks YouthBuild Charter School</t>
  </si>
  <si>
    <t>Cox Communications, Inc.</t>
  </si>
  <si>
    <t>Connected Nation</t>
  </si>
  <si>
    <t>Competitive Carriers Association</t>
  </si>
  <si>
    <t>Communications Workers of America</t>
  </si>
  <si>
    <t>Comcast Corporation</t>
  </si>
  <si>
    <t>Colorado Association of Leaders in Educational Technology</t>
  </si>
  <si>
    <t>82 airport blvd</t>
  </si>
  <si>
    <t>CollaborationSource</t>
  </si>
  <si>
    <t>Clark County School District</t>
  </si>
  <si>
    <t>City of Philadelphia</t>
  </si>
  <si>
    <t>City of Boston, Massachusetts</t>
  </si>
  <si>
    <t>Best Best &amp; Krieger</t>
  </si>
  <si>
    <t>Cisco Systems, Inc.</t>
  </si>
  <si>
    <t>Cindy Johnson</t>
  </si>
  <si>
    <t>Chris Young</t>
  </si>
  <si>
    <t>Chris Westbrook</t>
  </si>
  <si>
    <t>Chris Carter</t>
  </si>
  <si>
    <t>Chris A Quintanilla</t>
  </si>
  <si>
    <t>CenturyLink</t>
  </si>
  <si>
    <t>Carol Fenn</t>
  </si>
  <si>
    <t>Capistrano Unified School District</t>
  </si>
  <si>
    <t>California School Boards Association</t>
  </si>
  <si>
    <t>California Department of Education</t>
  </si>
  <si>
    <t>CTIA-The Wireless Association</t>
  </si>
  <si>
    <t>CSM, Inc.</t>
  </si>
  <si>
    <t>CRW Consulting</t>
  </si>
  <si>
    <t>PO Box 701713</t>
  </si>
  <si>
    <t>CCG Consulting</t>
  </si>
  <si>
    <t>CA County Superintendents Educational Services Association</t>
  </si>
  <si>
    <t>Butte County Office of Education</t>
  </si>
  <si>
    <t>Brett Stoneberger</t>
  </si>
  <si>
    <t>Brenda McCombs</t>
  </si>
  <si>
    <t>Brenda Dietrich</t>
  </si>
  <si>
    <t>Brad Meeks</t>
  </si>
  <si>
    <t>Bob Grimesey</t>
  </si>
  <si>
    <t>Berks County Intermediate Unit</t>
  </si>
  <si>
    <t>Benton Foundation</t>
  </si>
  <si>
    <t>Benny Gooden</t>
  </si>
  <si>
    <t>Becky Hartzell</t>
  </si>
  <si>
    <t>Barbara Patterson</t>
  </si>
  <si>
    <t>Barbara McClanahan</t>
  </si>
  <si>
    <t>Ashley Weaver</t>
  </si>
  <si>
    <t>Antioch Unified School District</t>
  </si>
  <si>
    <t>Anne O'Brien</t>
  </si>
  <si>
    <t>Amy Cox</t>
  </si>
  <si>
    <t>Amplify Education, Inc.</t>
  </si>
  <si>
    <t>Lawler, Metzger, Keeney &amp; Logan, LLC</t>
  </si>
  <si>
    <t>American e-Rate Solutions</t>
  </si>
  <si>
    <t>American Library Association</t>
  </si>
  <si>
    <t>American Cable Association</t>
  </si>
  <si>
    <t>Kelley Drye &amp; Warren LLP</t>
  </si>
  <si>
    <t>Alliance for Excellent Education et al</t>
  </si>
  <si>
    <t>Alliance for Excellent Education</t>
  </si>
  <si>
    <t>Allan Markley</t>
  </si>
  <si>
    <t>Alaska Rural Coalition</t>
  </si>
  <si>
    <t>Dorsey &amp; Whitney LLP</t>
  </si>
  <si>
    <t>Alabama Department of Education</t>
  </si>
  <si>
    <t>AT&amp;T Inc.</t>
  </si>
  <si>
    <t>ADTRAN, Inc.</t>
  </si>
  <si>
    <t>Butzel Long</t>
  </si>
  <si>
    <t>Utah Education Network</t>
  </si>
  <si>
    <t>United States Telecom Association</t>
  </si>
  <si>
    <t>The Quilt</t>
  </si>
  <si>
    <t>Telepoly Consulting</t>
  </si>
  <si>
    <t>Steve Bradshaw</t>
  </si>
  <si>
    <t>Rural Community College Alliance</t>
  </si>
  <si>
    <t>Rio Elementary School District</t>
  </si>
  <si>
    <t>Richmond County Schools GA</t>
  </si>
  <si>
    <t>Pickens County Schools</t>
  </si>
  <si>
    <t>NATOA</t>
  </si>
  <si>
    <t>NAPAVINE SCHOOL DISTRICT</t>
  </si>
  <si>
    <t>Kentucky Department for Libraries and Archives</t>
  </si>
  <si>
    <t>Ken Baugh, Gustine ISD</t>
  </si>
  <si>
    <t>Kansas State Department of Education</t>
  </si>
  <si>
    <t>Judith Ray</t>
  </si>
  <si>
    <t>Janice E. Reid</t>
  </si>
  <si>
    <t>Intrafinity Inc. (o/a SharpSchool)</t>
  </si>
  <si>
    <t>Hope Elementary School District</t>
  </si>
  <si>
    <t>Eastex Telephone Coop &amp; Riviera Telephone Co.</t>
  </si>
  <si>
    <t>Daniel J. Warwick</t>
  </si>
  <si>
    <t>Council of the Great City Schools</t>
  </si>
  <si>
    <t>Wagon Mound Pulic Schools</t>
  </si>
  <si>
    <t>PO Box 158</t>
  </si>
  <si>
    <t>Sunesys, LLC</t>
  </si>
  <si>
    <t>Arent Fox LLP</t>
  </si>
  <si>
    <t>Stanford University Graduate School of Education</t>
  </si>
  <si>
    <t>Rethink Education</t>
  </si>
  <si>
    <t>Poway Unified School District</t>
  </si>
  <si>
    <t>Pateros School District</t>
  </si>
  <si>
    <t>Partnership for 21st Century Skills</t>
  </si>
  <si>
    <t>National Association of State Boards of Education</t>
  </si>
  <si>
    <t>EducationCounsel</t>
  </si>
  <si>
    <t>Missouri Research and Education Network</t>
  </si>
  <si>
    <t>Josh Bullock</t>
  </si>
  <si>
    <t>Jeanne Moore</t>
  </si>
  <si>
    <t>Jamie Skjeveland</t>
  </si>
  <si>
    <t>Internet2</t>
  </si>
  <si>
    <t>Dunsmuir High School</t>
  </si>
  <si>
    <t>5805 High School Way</t>
  </si>
  <si>
    <t>Dean Ryan and Prof. Dede - Harvard Graduate School of Education</t>
  </si>
  <si>
    <t>BrightBytes</t>
  </si>
  <si>
    <t>Arlene Salyards</t>
  </si>
  <si>
    <t>Writers Guild of America, West</t>
  </si>
  <si>
    <t>Vermont Agency of Education</t>
  </si>
  <si>
    <t>United States Conference of Catholic Bishops</t>
  </si>
  <si>
    <t>St. Mary School</t>
  </si>
  <si>
    <t>South Carolina K-12 School Technology Initiative</t>
  </si>
  <si>
    <t>National Association of Secondary School Principals</t>
  </si>
  <si>
    <t>Meghan Tallman</t>
  </si>
  <si>
    <t>Mary Ronan, Superintendent, Cincinnati City School District</t>
  </si>
  <si>
    <t>Ken Benich</t>
  </si>
  <si>
    <t>Kajeet, Inc.</t>
  </si>
  <si>
    <t>KINBER</t>
  </si>
  <si>
    <t>Hazelwood School District</t>
  </si>
  <si>
    <t>Friday Institute, NC State University</t>
  </si>
  <si>
    <t>Federal Way Public Schools</t>
  </si>
  <si>
    <t>Dr. Sheryl Abshire on behalf of the Calcasieu Parish Public Schools</t>
  </si>
  <si>
    <t>Broadcore, Inc.</t>
  </si>
  <si>
    <t>Anchorage School District</t>
  </si>
  <si>
    <t>American Federation of Teachers</t>
  </si>
  <si>
    <t>Wisconsin Dept. of Public Instruction</t>
  </si>
  <si>
    <t>Winona RIII School Dristrict</t>
  </si>
  <si>
    <t>White Pass School District</t>
  </si>
  <si>
    <t>Wendy S. Tukloff, Ed.D.</t>
  </si>
  <si>
    <t>375 Reina del Mar</t>
  </si>
  <si>
    <t>09/13/2013</t>
  </si>
  <si>
    <t>Walker County School District</t>
  </si>
  <si>
    <t>WA State Office of Superintendent of Public Instruction</t>
  </si>
  <si>
    <t>Universal Academy</t>
  </si>
  <si>
    <t>U.S. TelePacific Corp.</t>
  </si>
  <si>
    <t>Tricia Louis</t>
  </si>
  <si>
    <t>Tommy Whitten</t>
  </si>
  <si>
    <t>Tim Landeck</t>
  </si>
  <si>
    <t>Y</t>
  </si>
  <si>
    <t>NOTICE OF EXPARTE</t>
  </si>
  <si>
    <t>Techplex</t>
  </si>
  <si>
    <t>Seattle Schools District 1</t>
  </si>
  <si>
    <t>Robert Ford</t>
  </si>
  <si>
    <t>Riverside County Office of Education</t>
  </si>
  <si>
    <t>Richard Wilson</t>
  </si>
  <si>
    <t>Raj</t>
  </si>
  <si>
    <t>Patrick J Clemins</t>
  </si>
  <si>
    <t>Office of Educational Technology at the NH Department of Education</t>
  </si>
  <si>
    <t>Nan Williams</t>
  </si>
  <si>
    <t>NASUCA</t>
  </si>
  <si>
    <t>Mississippi Educational Technology Leaders Association</t>
  </si>
  <si>
    <t>404 B Courthouse Square</t>
  </si>
  <si>
    <t>Michael Wagman</t>
  </si>
  <si>
    <t>Merit Network</t>
  </si>
  <si>
    <t>Menifee Union School District</t>
  </si>
  <si>
    <t>Mark Miller</t>
  </si>
  <si>
    <t>Lynn A. Harkins</t>
  </si>
  <si>
    <t>Lori Menie</t>
  </si>
  <si>
    <t>Larry Smith</t>
  </si>
  <si>
    <t>Kevin Frye</t>
  </si>
  <si>
    <t>Julie Lassig</t>
  </si>
  <si>
    <t>Jon Lewis</t>
  </si>
  <si>
    <t>Joe Morin</t>
  </si>
  <si>
    <t>James Marshall</t>
  </si>
  <si>
    <t>Illinois Department of Central Management Services</t>
  </si>
  <si>
    <t>Heath Grimes</t>
  </si>
  <si>
    <t>Greg Nakashima</t>
  </si>
  <si>
    <t>Governor Pat Quinn</t>
  </si>
  <si>
    <t>Electronic Information Network</t>
  </si>
  <si>
    <t>E-Rate Provider Services, LLC.</t>
  </si>
  <si>
    <t>E-Rate Consultants</t>
  </si>
  <si>
    <t>Discover Video, LLC.</t>
  </si>
  <si>
    <t>Digital Public Library of America</t>
  </si>
  <si>
    <t>Darin Manes</t>
  </si>
  <si>
    <t>Damon Edwards</t>
  </si>
  <si>
    <t>4123 Lakeside Drive</t>
  </si>
  <si>
    <t>Cordell Juhola</t>
  </si>
  <si>
    <t>Catherine M. Collett</t>
  </si>
  <si>
    <t>Carnegie Library of Pittsburgh</t>
  </si>
  <si>
    <t>Cardinal Maida Academy</t>
  </si>
  <si>
    <t>Bryant Wong</t>
  </si>
  <si>
    <t>Bryan Campbell</t>
  </si>
  <si>
    <t>Arlene Vandermyde</t>
  </si>
  <si>
    <t>Andra Brichacek</t>
  </si>
  <si>
    <t>AdTec, Inc.</t>
  </si>
  <si>
    <t>Tracy Hill</t>
  </si>
  <si>
    <t>Bobby Beutelschies</t>
  </si>
  <si>
    <t>mitchell Weisburgh</t>
  </si>
  <si>
    <t>Tony McKinstry</t>
  </si>
  <si>
    <t>Todd Crabtree</t>
  </si>
  <si>
    <t>Thomas A. Lindsley</t>
  </si>
  <si>
    <t>Terri Schoone</t>
  </si>
  <si>
    <t>Tandy Mallicoat</t>
  </si>
  <si>
    <t>Talladega County Schools</t>
  </si>
  <si>
    <t>Susan Luciano</t>
  </si>
  <si>
    <t>Sue</t>
  </si>
  <si>
    <t>Steve Chance</t>
  </si>
  <si>
    <t>Stephen Saint Coeur</t>
  </si>
  <si>
    <t>Stephanie Snyder</t>
  </si>
  <si>
    <t>Sherry Finchum</t>
  </si>
  <si>
    <t>Shelly Cooper</t>
  </si>
  <si>
    <t>Scott Manns</t>
  </si>
  <si>
    <t>Scott Kallenberger</t>
  </si>
  <si>
    <t>Sandy Ankenman</t>
  </si>
  <si>
    <t>San Diego County Office of Education</t>
  </si>
  <si>
    <t>Russell Thornton</t>
  </si>
  <si>
    <t>Ron Lehr</t>
  </si>
  <si>
    <t>1305 East Pinecrest</t>
  </si>
  <si>
    <t>Rolland Kornblau</t>
  </si>
  <si>
    <t>Rita Oates</t>
  </si>
  <si>
    <t>Rick Mancinelli</t>
  </si>
  <si>
    <t>Richard Wiltse</t>
  </si>
  <si>
    <t>Ray Eernisse</t>
  </si>
  <si>
    <t>Randolph County School System</t>
  </si>
  <si>
    <t>Peter Wholihan</t>
  </si>
  <si>
    <t>Peter Mantel</t>
  </si>
  <si>
    <t>Paul Johnson</t>
  </si>
  <si>
    <t>Panhandle Area Educaitonal Consortium</t>
  </si>
  <si>
    <t>North East Florida Educational Consortium</t>
  </si>
  <si>
    <t>NewSchools Venture Fund</t>
  </si>
  <si>
    <t>National Association of State Chief Information Officers (NASCIO)</t>
  </si>
  <si>
    <t>National Association of Independent Schools</t>
  </si>
  <si>
    <t>Michelle Low</t>
  </si>
  <si>
    <t>Michelle Johnson</t>
  </si>
  <si>
    <t>Mary Lisa wolf</t>
  </si>
  <si>
    <t>Martha Bogart</t>
  </si>
  <si>
    <t>Mark Williams</t>
  </si>
  <si>
    <t>500 Dusy Street</t>
  </si>
  <si>
    <t>Marian Davis</t>
  </si>
  <si>
    <t>Lukasz Kowalik</t>
  </si>
  <si>
    <t>Lucille Landry</t>
  </si>
  <si>
    <t>Los Angeles Unified School District</t>
  </si>
  <si>
    <t>Loretta Robinson</t>
  </si>
  <si>
    <t>Lisa Perez</t>
  </si>
  <si>
    <t>Linda Keller</t>
  </si>
  <si>
    <t>Linda Hartmann</t>
  </si>
  <si>
    <t>Les Callas</t>
  </si>
  <si>
    <t>Laura Kowalik</t>
  </si>
  <si>
    <t>L. Kay Abernathy</t>
  </si>
  <si>
    <t>Kimberly Friends</t>
  </si>
  <si>
    <t>Kathy Wilhoit</t>
  </si>
  <si>
    <t>Kathy Foster</t>
  </si>
  <si>
    <t>Kathleen Huggins</t>
  </si>
  <si>
    <t>Karen Qualey</t>
  </si>
  <si>
    <t>Karen Lyles</t>
  </si>
  <si>
    <t>Karen Allen</t>
  </si>
  <si>
    <t>Julie Carson</t>
  </si>
  <si>
    <t>Joseph Steen</t>
  </si>
  <si>
    <t>Jessica Medaille</t>
  </si>
  <si>
    <t>Jerry Rudolph</t>
  </si>
  <si>
    <t>Jennifer Tatum</t>
  </si>
  <si>
    <t>Jennifer Hunt</t>
  </si>
  <si>
    <t>Jason Zahariades</t>
  </si>
  <si>
    <t>Janice Raach</t>
  </si>
  <si>
    <t>James Osteen</t>
  </si>
  <si>
    <t>James Celoni</t>
  </si>
  <si>
    <t>Jada Jonas</t>
  </si>
  <si>
    <t>JD Taylor</t>
  </si>
  <si>
    <t>Houston Independent School District</t>
  </si>
  <si>
    <t>Helen Gooch</t>
  </si>
  <si>
    <t>Heartland Educational Consortium</t>
  </si>
  <si>
    <t>Hazel Sellers, Board Chair</t>
  </si>
  <si>
    <t>Harold Jones</t>
  </si>
  <si>
    <t>Greg Taffet</t>
  </si>
  <si>
    <t>Greg Raper</t>
  </si>
  <si>
    <t>Gail Grogan</t>
  </si>
  <si>
    <t>Fernando Marquez</t>
  </si>
  <si>
    <t>Erin Magley</t>
  </si>
  <si>
    <t>Elizabeth Carter</t>
  </si>
  <si>
    <t>Duval County Public Schools</t>
  </si>
  <si>
    <t>Dr. Deborah Walker</t>
  </si>
  <si>
    <t>Donna LaRosa</t>
  </si>
  <si>
    <t>Donna</t>
  </si>
  <si>
    <t>Don Atkinson</t>
  </si>
  <si>
    <t>Dixie Swearingen</t>
  </si>
  <si>
    <t>Dennis Unbehant</t>
  </si>
  <si>
    <t>Dawn Nelson</t>
  </si>
  <si>
    <t>Dawn Crawford</t>
  </si>
  <si>
    <t>David Weiss</t>
  </si>
  <si>
    <t>David Lassiter</t>
  </si>
  <si>
    <t>David Flynn</t>
  </si>
  <si>
    <t>Dave Kavanagh</t>
  </si>
  <si>
    <t>Cynthia Dunlap</t>
  </si>
  <si>
    <t>Cheryl Piercy</t>
  </si>
  <si>
    <t>Charolette Lawson</t>
  </si>
  <si>
    <t>Cathy Hinrichs</t>
  </si>
  <si>
    <t>Cathryn Burger</t>
  </si>
  <si>
    <t>Casey Eubanks</t>
  </si>
  <si>
    <t>Carolyn McCarthy</t>
  </si>
  <si>
    <t>Carol Mayo</t>
  </si>
  <si>
    <t>Bryan Cofer</t>
  </si>
  <si>
    <t>Bridgett Carwile</t>
  </si>
  <si>
    <t>Brian Erlichman</t>
  </si>
  <si>
    <t>Brandon Curless</t>
  </si>
  <si>
    <t>Bob Adams</t>
  </si>
  <si>
    <t>Bill Hurley</t>
  </si>
  <si>
    <t>Anna Miller</t>
  </si>
  <si>
    <t>Angela Sheddan</t>
  </si>
  <si>
    <t>Andrew Phillips</t>
  </si>
  <si>
    <t>Todd Neibauer</t>
  </si>
  <si>
    <t>Sean Lancaster</t>
  </si>
  <si>
    <t>Scott Lautigar</t>
  </si>
  <si>
    <t>Robert Graham</t>
  </si>
  <si>
    <t>Penn Harris Madison School Corporation</t>
  </si>
  <si>
    <t>Nola Barton</t>
  </si>
  <si>
    <t>Nancy Dawson</t>
  </si>
  <si>
    <t>Melissa Sherman</t>
  </si>
  <si>
    <t>Matthew Morin</t>
  </si>
  <si>
    <t>Marble Falls ISD</t>
  </si>
  <si>
    <t>Lynne</t>
  </si>
  <si>
    <t>Linda Swope</t>
  </si>
  <si>
    <t>Laurie Merrill</t>
  </si>
  <si>
    <t>Ken Greenberg</t>
  </si>
  <si>
    <t>Jackie Eastman</t>
  </si>
  <si>
    <t>George Louris</t>
  </si>
  <si>
    <t>Gail Wright</t>
  </si>
  <si>
    <t>Earl Roberts</t>
  </si>
  <si>
    <t>Denise Bridgman</t>
  </si>
  <si>
    <t>Curt Cearley</t>
  </si>
  <si>
    <t>Cindy Megli</t>
  </si>
  <si>
    <t>eDimension LLC</t>
  </si>
  <si>
    <t>09/12/2013</t>
  </si>
  <si>
    <t>Theresa d. Stief</t>
  </si>
  <si>
    <t>Susan Ogden</t>
  </si>
  <si>
    <t>Steven Dorko</t>
  </si>
  <si>
    <t>SUSAN OGDEN</t>
  </si>
  <si>
    <t>Ruth Okoye</t>
  </si>
  <si>
    <t>Rebecca Summers</t>
  </si>
  <si>
    <t>Michele Christie</t>
  </si>
  <si>
    <t>Martin Wild</t>
  </si>
  <si>
    <t>Linda Jagielo</t>
  </si>
  <si>
    <t>Kirsten Hund</t>
  </si>
  <si>
    <t>Kelly W. West</t>
  </si>
  <si>
    <t>Kathleen Hurley</t>
  </si>
  <si>
    <t>Karen Fitzpatrick</t>
  </si>
  <si>
    <t>John Wilkins</t>
  </si>
  <si>
    <t>Jennifer McCormick</t>
  </si>
  <si>
    <t>Jennifer Fosko</t>
  </si>
  <si>
    <t>JERRY RUDOLPH</t>
  </si>
  <si>
    <t>Illinois Fiber Resources Group</t>
  </si>
  <si>
    <t>Grant Kinman</t>
  </si>
  <si>
    <t>Glenn County Office of Education</t>
  </si>
  <si>
    <t>Gary Oke</t>
  </si>
  <si>
    <t>Erin Ryan</t>
  </si>
  <si>
    <t>Eric Newton</t>
  </si>
  <si>
    <t>Connie Beam</t>
  </si>
  <si>
    <t>Compton Grose</t>
  </si>
  <si>
    <t>Bryon Kolbeck</t>
  </si>
  <si>
    <t>Bebarce El-Tayib</t>
  </si>
  <si>
    <t>Pullman Public School</t>
  </si>
  <si>
    <t>09/09/2013</t>
  </si>
  <si>
    <t>William Martin</t>
  </si>
  <si>
    <t>Tony Arbisi</t>
  </si>
  <si>
    <t>Tania Arnaud</t>
  </si>
  <si>
    <t>180 Church St</t>
  </si>
  <si>
    <t>TV Band Service</t>
  </si>
  <si>
    <t>Suzanne Magerko</t>
  </si>
  <si>
    <t>Sean Lewis</t>
  </si>
  <si>
    <t>Sanford Silverstein</t>
  </si>
  <si>
    <t>Rick Cadiz</t>
  </si>
  <si>
    <t>Rich Rehfeldt</t>
  </si>
  <si>
    <t>Portola Valley School District</t>
  </si>
  <si>
    <t>Nancy Tom</t>
  </si>
  <si>
    <t>Nadine Walters</t>
  </si>
  <si>
    <t>Merle Marsh</t>
  </si>
  <si>
    <t>Mary Mehsikomer</t>
  </si>
  <si>
    <t>Kim Stephens</t>
  </si>
  <si>
    <t>Kerry Mooney</t>
  </si>
  <si>
    <t>Kenneth Spencer</t>
  </si>
  <si>
    <t>Julie Harrington</t>
  </si>
  <si>
    <t>Judith Serrano</t>
  </si>
  <si>
    <t>Jon Barnes</t>
  </si>
  <si>
    <t>John Trainor</t>
  </si>
  <si>
    <t>Joel Adkins</t>
  </si>
  <si>
    <t>Jennifer Dimmick</t>
  </si>
  <si>
    <t>Howard Taylor</t>
  </si>
  <si>
    <t>Hellen Harvey</t>
  </si>
  <si>
    <t>Garey Reynolds</t>
  </si>
  <si>
    <t>David Canaday</t>
  </si>
  <si>
    <t>Dave Larson</t>
  </si>
  <si>
    <t>Dallas County R-1 Schools</t>
  </si>
  <si>
    <t>Bruce Cambigue</t>
  </si>
  <si>
    <t>Bonnie Sutton</t>
  </si>
  <si>
    <t>Tom Tafoya</t>
  </si>
  <si>
    <t>4800 Manzanita</t>
  </si>
  <si>
    <t>Thomas W. Bruels</t>
  </si>
  <si>
    <t>Susan Poling</t>
  </si>
  <si>
    <t>Scranton Public Library</t>
  </si>
  <si>
    <t>Fran McTigrit</t>
  </si>
  <si>
    <t>Etiwanda School District</t>
  </si>
  <si>
    <t>Dave Van Lue</t>
  </si>
  <si>
    <t>#1 Warrior Path</t>
  </si>
  <si>
    <t>Christine Roskovensky</t>
  </si>
  <si>
    <t>Brandon Seigman</t>
  </si>
  <si>
    <t>Tina Wilson</t>
  </si>
  <si>
    <t>09/11/2013</t>
  </si>
  <si>
    <t>Teresa S. Foulger</t>
  </si>
  <si>
    <t>Sandra Wynn</t>
  </si>
  <si>
    <t>PO Box 632</t>
  </si>
  <si>
    <t>Sandra Hayes</t>
  </si>
  <si>
    <t>Nanci Brillant</t>
  </si>
  <si>
    <t>Michele Ferracci</t>
  </si>
  <si>
    <t>Mel Pace, PhD</t>
  </si>
  <si>
    <t>School District of Osceola County</t>
  </si>
  <si>
    <t>Marysville School District</t>
  </si>
  <si>
    <t>4220 80th Street NE</t>
  </si>
  <si>
    <t>Mark Finstrom</t>
  </si>
  <si>
    <t>MIAMI-DADE COUNTY PUBLIC SCHOOLS</t>
  </si>
  <si>
    <t>Kim Arrington</t>
  </si>
  <si>
    <t>Katrina Bowling</t>
  </si>
  <si>
    <t>Kathleen Prody</t>
  </si>
  <si>
    <t>John Patten</t>
  </si>
  <si>
    <t>Jim Bowlby</t>
  </si>
  <si>
    <t>Jerry Wilson</t>
  </si>
  <si>
    <t>Jean Bengfort</t>
  </si>
  <si>
    <t>James Bailey</t>
  </si>
  <si>
    <t>J.D. Kennedy</t>
  </si>
  <si>
    <t>Inkie Landry</t>
  </si>
  <si>
    <t>Eric Burrage</t>
  </si>
  <si>
    <t>Ellen DiGiacomo</t>
  </si>
  <si>
    <t>Dotty Gonsalves</t>
  </si>
  <si>
    <t>Clinton Unified School District</t>
  </si>
  <si>
    <t>Cecilia C. Solan</t>
  </si>
  <si>
    <t>BRYAN ALLAN</t>
  </si>
  <si>
    <t>Au Gres-Sims School District</t>
  </si>
  <si>
    <t>Appalachia Intermediate Unit 8</t>
  </si>
  <si>
    <t>Angela Veitch</t>
  </si>
  <si>
    <t>Orange County Schools</t>
  </si>
  <si>
    <t>Todd Freeman</t>
  </si>
  <si>
    <t>Stephen Politzer</t>
  </si>
  <si>
    <t>Roland O'Daniel</t>
  </si>
  <si>
    <t>Rene L. Martin</t>
  </si>
  <si>
    <t>Mia van der Paardt</t>
  </si>
  <si>
    <t>K M Pruitt</t>
  </si>
  <si>
    <t>John Fabry</t>
  </si>
  <si>
    <t>Jason</t>
  </si>
  <si>
    <t>Gregg</t>
  </si>
  <si>
    <t>Eileen H. Monti</t>
  </si>
  <si>
    <t>n/a</t>
  </si>
  <si>
    <t>Dr. Lana W. Jackman</t>
  </si>
  <si>
    <t>David Smith</t>
  </si>
  <si>
    <t>Darrin Strosahl</t>
  </si>
  <si>
    <t>Carol A. Woehler</t>
  </si>
  <si>
    <t>Navasota ISD</t>
  </si>
  <si>
    <t>Beth Richert</t>
  </si>
  <si>
    <t>April H. Machan</t>
  </si>
  <si>
    <t>Angela Rupert</t>
  </si>
  <si>
    <t>7 Fairfax Lane</t>
  </si>
  <si>
    <t>SchoolWires</t>
  </si>
  <si>
    <t>09/10/2013</t>
  </si>
  <si>
    <t>Kevin Calvert</t>
  </si>
  <si>
    <t>314 S Lewis</t>
  </si>
  <si>
    <t>Kendt Eklund</t>
  </si>
  <si>
    <t>Jeff Bisek</t>
  </si>
  <si>
    <t>Eric S. Petery</t>
  </si>
  <si>
    <t>Dave Del Boccio</t>
  </si>
  <si>
    <t>Wawasee Community School Corporation</t>
  </si>
  <si>
    <t>Groesbeck Independent School District</t>
  </si>
  <si>
    <t>Frazier School District</t>
  </si>
  <si>
    <t>Pacifica School District</t>
  </si>
  <si>
    <t>Jill Boyle</t>
  </si>
  <si>
    <t>Heath Halley</t>
  </si>
  <si>
    <t>Fresno Unified School District</t>
  </si>
  <si>
    <t>Fox Chapel Area School District</t>
  </si>
  <si>
    <t>Dr. David G. Title</t>
  </si>
  <si>
    <t>David Henderson</t>
  </si>
  <si>
    <t>Union Hill ISD</t>
  </si>
  <si>
    <t>Ken Olson</t>
  </si>
  <si>
    <t>Fairfax County Public Schools</t>
  </si>
  <si>
    <t>Ballinger Independent School District</t>
  </si>
  <si>
    <t>09/06/2013</t>
  </si>
  <si>
    <t>Reeves McGlohon</t>
  </si>
  <si>
    <t>Ted</t>
  </si>
  <si>
    <t>St. Mary Parish School System</t>
  </si>
  <si>
    <t>Sherry Hutson</t>
  </si>
  <si>
    <t>Shelly Ceglar</t>
  </si>
  <si>
    <t>SUPERNet Consortium</t>
  </si>
  <si>
    <t>Miami ISD</t>
  </si>
  <si>
    <t>Matt Penner</t>
  </si>
  <si>
    <t>Felt Public School</t>
  </si>
  <si>
    <t>Antonio</t>
  </si>
  <si>
    <t>Whiteville City Schools</t>
  </si>
  <si>
    <t>09/05/2013</t>
  </si>
  <si>
    <t>Tammy Lacey</t>
  </si>
  <si>
    <t>Stephen Johnson</t>
  </si>
  <si>
    <t>Nicholas Ward</t>
  </si>
  <si>
    <t>Michele Wagner</t>
  </si>
  <si>
    <t>Mark Shafer</t>
  </si>
  <si>
    <t>Kathy Sanders</t>
  </si>
  <si>
    <t>143 Maple Ave</t>
  </si>
  <si>
    <t>Jeff Patterson</t>
  </si>
  <si>
    <t>Columbia Public Schools</t>
  </si>
  <si>
    <t>Colonial Beach School District</t>
  </si>
  <si>
    <t>National Catholic Educational Association</t>
  </si>
  <si>
    <t>Jerry Huskey</t>
  </si>
  <si>
    <t>Carol S. Fenn, Ed.D.</t>
  </si>
  <si>
    <t>Warsaw Community Schools</t>
  </si>
  <si>
    <t>Patti Pomplin</t>
  </si>
  <si>
    <t>09/04/2013</t>
  </si>
  <si>
    <t>North Thurston Public Schools</t>
  </si>
  <si>
    <t>Dr. Hertica Y. Martin</t>
  </si>
  <si>
    <t>Dr. Flora Reichanadter</t>
  </si>
  <si>
    <t>Billy Coleman - Superintendet of Cullman County Schools, Alabama</t>
  </si>
  <si>
    <t>PATERSON SCHOOL DISTRICT</t>
  </si>
  <si>
    <t>09/03/2013</t>
  </si>
  <si>
    <t>Jason Mellema</t>
  </si>
  <si>
    <t>Dr. Frank Hewins</t>
  </si>
  <si>
    <t>Scott Harris</t>
  </si>
  <si>
    <t>John Owen</t>
  </si>
  <si>
    <t>Michael Lubelfeld</t>
  </si>
  <si>
    <t>Deerfield Public Schools - District 109</t>
  </si>
  <si>
    <t>John Dunham</t>
  </si>
  <si>
    <t>Heather Askea</t>
  </si>
  <si>
    <t>Traci Filiss</t>
  </si>
  <si>
    <t>08/30/2013</t>
  </si>
  <si>
    <t>Thomas R. Chiles</t>
  </si>
  <si>
    <t>Jeff Windsor</t>
  </si>
  <si>
    <t>Dr. Lorraine Lange</t>
  </si>
  <si>
    <t>Dr. Clark Godshall</t>
  </si>
  <si>
    <t>Texas Education Telecommunications Network</t>
  </si>
  <si>
    <t>Lloyd W. Snow</t>
  </si>
  <si>
    <t>Kathy Murphy</t>
  </si>
  <si>
    <t>Joshua Wenning</t>
  </si>
  <si>
    <t>North Boone CUSD 200</t>
  </si>
  <si>
    <t>6248 N Boone School Road</t>
  </si>
  <si>
    <t>08/29/2013</t>
  </si>
  <si>
    <t>Jim Buckheit</t>
  </si>
  <si>
    <t>Dr. Robert F. Hill</t>
  </si>
  <si>
    <t>Curtis Cearley</t>
  </si>
  <si>
    <t>Carol Schmitt</t>
  </si>
  <si>
    <t>Denise MacDonald</t>
  </si>
  <si>
    <t>Yancy Poorman</t>
  </si>
  <si>
    <t>Mary Scofield</t>
  </si>
  <si>
    <t>Loren Smith</t>
  </si>
  <si>
    <t>Tom Bayersdorfer</t>
  </si>
  <si>
    <t>08/28/2013</t>
  </si>
  <si>
    <t>Steve Bogan</t>
  </si>
  <si>
    <t>Stacie Moore</t>
  </si>
  <si>
    <t>Robert D. Moorhead</t>
  </si>
  <si>
    <t>207 W. Tyson Street</t>
  </si>
  <si>
    <t>Paul Arnold</t>
  </si>
  <si>
    <t>Jim Shcok, Ed. D.</t>
  </si>
  <si>
    <t>Jeff Kerby</t>
  </si>
  <si>
    <t>H. Alan Seibert</t>
  </si>
  <si>
    <t>Dr. Helio Brasil</t>
  </si>
  <si>
    <t>Leonard R. Orr</t>
  </si>
  <si>
    <t>Jule Walker</t>
  </si>
  <si>
    <t>08/27/2013</t>
  </si>
  <si>
    <t>Bob Swiggum</t>
  </si>
  <si>
    <t>Shelley McDowell</t>
  </si>
  <si>
    <t>Noelle Ellerson</t>
  </si>
  <si>
    <t>Kerry Perkins</t>
  </si>
  <si>
    <t>08/26/2013</t>
  </si>
  <si>
    <t>Wesley Grant</t>
  </si>
  <si>
    <t>Britni H</t>
  </si>
  <si>
    <t>Krissy Machamer</t>
  </si>
  <si>
    <t>08/23/2013</t>
  </si>
  <si>
    <t>Arkansas Telephone Association</t>
  </si>
  <si>
    <t>08/22/2013</t>
  </si>
  <si>
    <t>The Telephone Company</t>
  </si>
  <si>
    <t>Marissa Baptista</t>
  </si>
  <si>
    <t>08/20/2013</t>
  </si>
  <si>
    <t>08/21/2013</t>
  </si>
  <si>
    <t>Tracee Aliotti</t>
  </si>
  <si>
    <t>Nil Grove</t>
  </si>
  <si>
    <t>08/19/2013</t>
  </si>
  <si>
    <t>William Campbell</t>
  </si>
  <si>
    <t>08/16/2013</t>
  </si>
  <si>
    <t>Vinnie Anderson</t>
  </si>
  <si>
    <t>Tamar Gens-Tinton Falls BOE</t>
  </si>
  <si>
    <t>Scott Major</t>
  </si>
  <si>
    <t>Ohio E-Rate Consortium</t>
  </si>
  <si>
    <t>Womble Carlyle Sandridge &amp; Rice, LLP</t>
  </si>
  <si>
    <t>Neil Vien</t>
  </si>
  <si>
    <t>Matthew Nelson</t>
  </si>
  <si>
    <t>Mark Sherwood</t>
  </si>
  <si>
    <t>Louisville Free Public Library</t>
  </si>
  <si>
    <t>Dwight Woodley</t>
  </si>
  <si>
    <t>April Bryant</t>
  </si>
  <si>
    <t>Telecommunications Access Policy Division, FCC</t>
  </si>
  <si>
    <t>08/09/2013</t>
  </si>
  <si>
    <t>08/08/2013</t>
  </si>
  <si>
    <t>Gaggle</t>
  </si>
  <si>
    <t>08/07/2013</t>
  </si>
  <si>
    <t>Blair Levin</t>
  </si>
  <si>
    <t>08/06/2013</t>
  </si>
  <si>
    <t>Leadership Conference on Civil and Human Rights</t>
  </si>
  <si>
    <t>08/02/2013</t>
  </si>
  <si>
    <t>08/05/2013</t>
  </si>
  <si>
    <t>08/01/2013</t>
  </si>
  <si>
    <t>Joint Center for Political and Economic Studies</t>
  </si>
  <si>
    <t>805 Fifteenth Street, NW</t>
  </si>
  <si>
    <t>07/30/2013</t>
  </si>
  <si>
    <t>07/31/2013</t>
  </si>
  <si>
    <t>07/29/2013</t>
  </si>
  <si>
    <t>Wireline Competition Bureau</t>
  </si>
  <si>
    <t>FCC</t>
  </si>
  <si>
    <t>07/19/2013</t>
  </si>
  <si>
    <t>07/25/2013</t>
  </si>
  <si>
    <t>NOTICE OF PROPOSED RULEMAKING</t>
  </si>
  <si>
    <t>David Kaiser</t>
  </si>
  <si>
    <t>07/23/2013</t>
  </si>
  <si>
    <t>07/24/2013</t>
  </si>
  <si>
    <t>Proceeding</t>
  </si>
  <si>
    <t>Mitchell Weisburgh</t>
  </si>
  <si>
    <t>National Association of Federally Impacted Schools</t>
  </si>
  <si>
    <t>Union School Corporation</t>
  </si>
  <si>
    <t>Aquinas Academy</t>
  </si>
  <si>
    <t>Castle Rock Union Elementary School District</t>
  </si>
  <si>
    <t xml:space="preserve">Bangor Union Elementary School District </t>
  </si>
  <si>
    <t>Submitted By</t>
  </si>
  <si>
    <t>Paterson School District No. 50</t>
  </si>
  <si>
    <t>AASA/AESA</t>
  </si>
  <si>
    <t>Lawrence County Board of Education</t>
  </si>
  <si>
    <t>NCSD</t>
  </si>
  <si>
    <t>Marengo County School District</t>
  </si>
  <si>
    <t>Seminole County Public Schools</t>
  </si>
  <si>
    <t>Newport NH</t>
  </si>
  <si>
    <t>Logan Township School District</t>
  </si>
  <si>
    <t>Education Service District 112</t>
  </si>
  <si>
    <t>Wonewoc Union Center School District</t>
  </si>
  <si>
    <t>Taos Academy</t>
  </si>
  <si>
    <t>Madison County Board of Education</t>
  </si>
  <si>
    <t>Visions In Education, K-12 Charter School</t>
  </si>
  <si>
    <t>Sylacauga City Schools,</t>
  </si>
  <si>
    <t>Eel River Charter School</t>
  </si>
  <si>
    <t>ISD 75 St. Clair Public School</t>
  </si>
  <si>
    <t>Lena-Winslow Community Unit School District #202</t>
  </si>
  <si>
    <t>ACT</t>
  </si>
  <si>
    <t>Arizon State University</t>
  </si>
  <si>
    <t>St. Ignatius School</t>
  </si>
  <si>
    <t>Hancock County School District</t>
  </si>
  <si>
    <t>Great Falls Public Schools</t>
  </si>
  <si>
    <t>Homewood City School District</t>
  </si>
  <si>
    <t>Montana State Library</t>
  </si>
  <si>
    <t>Shelby County Schools</t>
  </si>
  <si>
    <t>Pontotoc Technology Center</t>
  </si>
  <si>
    <t>St. Sebastian Regional School</t>
  </si>
  <si>
    <t>North Wasco County School District #21</t>
  </si>
  <si>
    <t>Sitka School District</t>
  </si>
  <si>
    <t>Armona Union Elementary School District</t>
  </si>
  <si>
    <t>Santa Cruz Valley USD No. 35</t>
  </si>
  <si>
    <t>New Haven Unified school District</t>
  </si>
  <si>
    <t>Pike County Schools</t>
  </si>
  <si>
    <t>Grand View School</t>
  </si>
  <si>
    <t>North Lamar Independent School District</t>
  </si>
  <si>
    <t>Kansas City Public Schools</t>
  </si>
  <si>
    <t>GOAL Academy</t>
  </si>
  <si>
    <t>Toppenish School District</t>
  </si>
  <si>
    <t>Neosho R5 Schools</t>
  </si>
  <si>
    <t>Rockdale ISD</t>
  </si>
  <si>
    <t>Richardson Independent School District</t>
  </si>
  <si>
    <t>SAFARI Montage</t>
  </si>
  <si>
    <t>Marshall Independent School District</t>
  </si>
  <si>
    <t>Robert W. Peters (Morality in Media, Inc.,)</t>
  </si>
  <si>
    <t>South Ripley Community School Corporation</t>
  </si>
  <si>
    <t>Firelands Local school District</t>
  </si>
  <si>
    <t>Radford City, Schools</t>
  </si>
  <si>
    <t>Cloud Computing Company</t>
  </si>
  <si>
    <t>Comanche Independent School District</t>
  </si>
  <si>
    <t>Clarke County Board of Education</t>
  </si>
  <si>
    <t>Richard Hershman (ex-EdLiNC Chairman)</t>
  </si>
  <si>
    <t>Big Spring School District</t>
  </si>
  <si>
    <t>Riverside Unified School District</t>
  </si>
  <si>
    <t>Haines Borough School District</t>
  </si>
  <si>
    <t>Gaston County Schools</t>
  </si>
  <si>
    <t>Francis Howell School District</t>
  </si>
  <si>
    <t>Prof.s Soloway and Norris</t>
  </si>
  <si>
    <t>Lenoir County Public Schools</t>
  </si>
  <si>
    <t>Horicon Elementary School District</t>
  </si>
  <si>
    <t>Leake County School DistrictPamela H. Tucker</t>
  </si>
  <si>
    <t>Monroe County Board of Education</t>
  </si>
  <si>
    <t>Pennsylvania Association of Intermediate Units (PAIU)</t>
  </si>
  <si>
    <t>Auburn School District</t>
  </si>
  <si>
    <t>Harlandale ISD</t>
  </si>
  <si>
    <t>Napavine School District</t>
  </si>
  <si>
    <t>Plymouth Pubilc Schools</t>
  </si>
  <si>
    <t>Osceola County School District</t>
  </si>
  <si>
    <t>Alhambra Elementary School District</t>
  </si>
  <si>
    <t>Digital Learning Institute</t>
  </si>
  <si>
    <t>California Charter Schools Association (CCSA)</t>
  </si>
  <si>
    <t>Baltimore County Public Schools</t>
  </si>
  <si>
    <t>Sequoyah Public SchoolsMichael Critchfield</t>
  </si>
  <si>
    <t>Miami-Dade County Public Schools</t>
  </si>
  <si>
    <t>Boyceville School District</t>
  </si>
  <si>
    <t>Nevada City School of the Arts</t>
  </si>
  <si>
    <t>Cristo Rey Kansas City</t>
  </si>
  <si>
    <t>Fort Cherry School District</t>
  </si>
  <si>
    <t>El Camino Real Academy</t>
  </si>
  <si>
    <t>Mary Ronan</t>
  </si>
  <si>
    <t>Cincinnati City School District</t>
  </si>
  <si>
    <t>Mary Lisa Wolf</t>
  </si>
  <si>
    <t>TIES Education Technology Collaborative</t>
  </si>
  <si>
    <t>Mother of God School</t>
  </si>
  <si>
    <t>Dothan City Schools</t>
  </si>
  <si>
    <t>Covington County Schools</t>
  </si>
  <si>
    <t>Vermillion School District No. 13-1</t>
  </si>
  <si>
    <t>Highline School District</t>
  </si>
  <si>
    <t>Broward County Public Schools</t>
  </si>
  <si>
    <t>Canutillo ISD</t>
  </si>
  <si>
    <t>Tammany Parish Schools</t>
  </si>
  <si>
    <t>Webbers Falls Public Schools</t>
  </si>
  <si>
    <t>Sand Springs Schools</t>
  </si>
  <si>
    <t>Strafford School</t>
  </si>
  <si>
    <t>Southwest Parke Community School Corporation</t>
  </si>
  <si>
    <t>Lawrence County Schools</t>
  </si>
  <si>
    <t>Lamar University</t>
  </si>
  <si>
    <t>North Slope Borough School District</t>
  </si>
  <si>
    <t>Wade Thomas School</t>
  </si>
  <si>
    <t>Chilton County School District</t>
  </si>
  <si>
    <t>Kevin Matteson (previously with Tulare County Office of Education)</t>
  </si>
  <si>
    <t>Diocese of Greensburg Pennsylvania,</t>
  </si>
  <si>
    <t>Stillwater Public Schools</t>
  </si>
  <si>
    <t>Yupiit School District</t>
  </si>
  <si>
    <t>Gustine ISD</t>
  </si>
  <si>
    <t>Ken Baugh</t>
  </si>
  <si>
    <t>Cisco ISD</t>
  </si>
  <si>
    <t>Madison City Schools</t>
  </si>
  <si>
    <t>Wisconsin Educational Media and Technology Association</t>
  </si>
  <si>
    <t>Glendale Elementary School District</t>
  </si>
  <si>
    <t>Belt Public Schools</t>
  </si>
  <si>
    <t>Bay Shore UFSD</t>
  </si>
  <si>
    <t>Hugo Schools, 1039</t>
  </si>
  <si>
    <t>Walt Griffin and Karen Almond</t>
  </si>
  <si>
    <t>Mel Pace,Nanci Brillant, K M Pruitt</t>
  </si>
  <si>
    <t>Tri-Valley Learning Corporation</t>
  </si>
  <si>
    <t>College Place School District No. 250</t>
  </si>
  <si>
    <t>Plevna Schools</t>
  </si>
  <si>
    <t>Catawba County Schools</t>
  </si>
  <si>
    <t>Region 8 Education Service Center of Northeast Indiana</t>
  </si>
  <si>
    <t>Jurupa Unified School District</t>
  </si>
  <si>
    <t>Bering Strait School DistrictJosh Bullock</t>
  </si>
  <si>
    <t>Fayette County Schools</t>
  </si>
  <si>
    <t>Beaumont Unified School District</t>
  </si>
  <si>
    <t>Essex County Public Schools.</t>
  </si>
  <si>
    <t>Sylvan Union School District</t>
  </si>
  <si>
    <t>Alabama Supercomputer Authority</t>
  </si>
  <si>
    <t>Millard Public Schools</t>
  </si>
  <si>
    <t>Acadia Parish Schools</t>
  </si>
  <si>
    <t>Collaborative for Educational Services</t>
  </si>
  <si>
    <t>Pennsylvania Association of School Administrators</t>
  </si>
  <si>
    <t>Mill Valley School District</t>
  </si>
  <si>
    <t>Colorado Mountain College</t>
  </si>
  <si>
    <t>Maine School Administrative District # 65</t>
  </si>
  <si>
    <t>Sevier County Schools</t>
  </si>
  <si>
    <t>Yorktown Community Schools</t>
  </si>
  <si>
    <t>Chino Valley USD</t>
  </si>
  <si>
    <t>Newton South High School</t>
  </si>
  <si>
    <t>Springs Valley Schools</t>
  </si>
  <si>
    <t>Independent School District No. 432</t>
  </si>
  <si>
    <t>St. Charles Parish Public Schools</t>
  </si>
  <si>
    <t>Coeur d'Alene School District</t>
  </si>
  <si>
    <t>Duncan Public Schools</t>
  </si>
  <si>
    <t>EWCSD</t>
  </si>
  <si>
    <t>Pewamo–Westphalia Community Schools</t>
  </si>
  <si>
    <t>Jason Gregg-</t>
  </si>
  <si>
    <t>Peekskill City School District</t>
  </si>
  <si>
    <t>Crosby-Ironton I.S.D. #182</t>
  </si>
  <si>
    <t>Eufaula City Schools</t>
  </si>
  <si>
    <t>McKinney ISD</t>
  </si>
  <si>
    <t>St. Tammany Parish Public Schools</t>
  </si>
  <si>
    <t>Imperial County Board of Education</t>
  </si>
  <si>
    <t>Merced River School District</t>
  </si>
  <si>
    <t>International Center for Law and Economics &amp; Tech Freedom</t>
  </si>
  <si>
    <t>Saint Bernard SchoolHelene Cirrincione</t>
  </si>
  <si>
    <t>University of Virginia’s College at Wise</t>
  </si>
  <si>
    <t>Putnam County R-I School</t>
  </si>
  <si>
    <t>Polk County School District</t>
  </si>
  <si>
    <t>Hamblen County Schools</t>
  </si>
  <si>
    <t>Salem City Schools</t>
  </si>
  <si>
    <t>Grapeland ISD</t>
  </si>
  <si>
    <t>Thackerville Schools</t>
  </si>
  <si>
    <t>Dallas ISD</t>
  </si>
  <si>
    <t>Sacred Heart High School</t>
  </si>
  <si>
    <t>State of Illinois</t>
  </si>
  <si>
    <t>Gary Shuman and Gray Salada</t>
  </si>
  <si>
    <t>Center Line Public Schools</t>
  </si>
  <si>
    <t>Kentucky Society for Technology in Education (KySTE)</t>
  </si>
  <si>
    <t>Clay County School System</t>
  </si>
  <si>
    <t>Katy Independent School District</t>
  </si>
  <si>
    <t>Gila Crossing Community School</t>
  </si>
  <si>
    <t xml:space="preserve">Knight Foundation John S. and James L. </t>
  </si>
  <si>
    <t>Oxford City Schools</t>
  </si>
  <si>
    <t>International Society for Technology in Education’s Special Interest Group in Mobile Learning</t>
  </si>
  <si>
    <t>Leadership Public Schools</t>
  </si>
  <si>
    <t>James Weldon Johnson College Preparatory Middle School, Duval County</t>
  </si>
  <si>
    <t>Dr. Sheryl Abshire</t>
  </si>
  <si>
    <t>Calcasieu Parish Public Schools</t>
  </si>
  <si>
    <t>Roanoke County Public Schools</t>
  </si>
  <si>
    <t>National Forum on Information Literacy</t>
  </si>
  <si>
    <t>Franklin Pierce School District</t>
  </si>
  <si>
    <t>Harvard Graduate School of Education</t>
  </si>
  <si>
    <t>Dean Ryan and Prof. Dede</t>
  </si>
  <si>
    <t>Franklin Township Community School Corporation</t>
  </si>
  <si>
    <t>Collaborative for Teaching and Learning</t>
  </si>
  <si>
    <t>Fairfield Public Schools</t>
  </si>
  <si>
    <t>Orleans/Niagara BOCES</t>
  </si>
  <si>
    <t>Napa County Schools</t>
  </si>
  <si>
    <t>East Bay Educational Collaborative</t>
  </si>
  <si>
    <t>Bristol Borough School District</t>
  </si>
  <si>
    <t>Arcohe Union School District</t>
  </si>
  <si>
    <t>Long Beach City School District</t>
  </si>
  <si>
    <t>Grant Parish School Board</t>
  </si>
  <si>
    <t>Ponca City Public School</t>
  </si>
  <si>
    <t>Global CTI Group</t>
  </si>
  <si>
    <t>Minority Media and Telecommunications Council</t>
  </si>
  <si>
    <t>New River Community and Technical College</t>
  </si>
  <si>
    <t>Foley Public Schools</t>
  </si>
  <si>
    <t>Lovington Municipal Schools</t>
  </si>
  <si>
    <t>Springfield Public Schools (MA)</t>
  </si>
  <si>
    <t>Springfield Public Schools (OR)</t>
  </si>
  <si>
    <t>SafeLibraries</t>
  </si>
  <si>
    <t>Johnston County School</t>
  </si>
  <si>
    <t>Making Waves Academy</t>
  </si>
  <si>
    <t>Mecosta-Osceola Intermediate School District</t>
  </si>
  <si>
    <t>Holy Trinity School</t>
  </si>
  <si>
    <t>St. John the Evangelist Regional School</t>
  </si>
  <si>
    <t>Florence City Schools</t>
  </si>
  <si>
    <t>Conn-Area Catholic School</t>
  </si>
  <si>
    <t>Rock Falls Township High School</t>
  </si>
  <si>
    <t>Mary Queen of Apostles School</t>
  </si>
  <si>
    <t>Sallisaw Public Schools</t>
  </si>
  <si>
    <t>Acclimateus</t>
  </si>
  <si>
    <t>Rockingham County Public School</t>
  </si>
  <si>
    <t>Diocese of Dallas</t>
  </si>
  <si>
    <t>Wausau School District</t>
  </si>
  <si>
    <t>Summit Public Schools</t>
  </si>
  <si>
    <t>Cannon County School District</t>
  </si>
  <si>
    <t>Springfield School District</t>
  </si>
  <si>
    <t>Bureau of Indian Affairs/Education</t>
  </si>
  <si>
    <t>Kannapolis City Schools</t>
  </si>
  <si>
    <t>Auburn WashburnUSD 437</t>
  </si>
  <si>
    <t>Chickasaw City Schools,</t>
  </si>
  <si>
    <t>Steamboat Springs School District RE-2</t>
  </si>
  <si>
    <t>Portola Middle School/WCCUSD</t>
  </si>
  <si>
    <t>Cullman County Schools</t>
  </si>
  <si>
    <t>Clinton Public Schools</t>
  </si>
  <si>
    <t>Fort Smith Public Schools</t>
  </si>
  <si>
    <t>Branson R-IV Schools</t>
  </si>
  <si>
    <t>Kearney R-1 School</t>
  </si>
  <si>
    <t>NE Colorado BOCES</t>
  </si>
  <si>
    <t>Lake Geneva, Schools</t>
  </si>
  <si>
    <t>Learning First Alliance</t>
  </si>
  <si>
    <t>Cleveland City Schools (TN)</t>
  </si>
  <si>
    <t>Raytown Quality Schools</t>
  </si>
  <si>
    <t>Bryan Allan</t>
  </si>
  <si>
    <t>Jeff Patterson and Tammy Lacey</t>
  </si>
  <si>
    <t>Jefferson City Public Schools District (MO)</t>
  </si>
  <si>
    <t>Jefferson County Schools (AL)</t>
  </si>
  <si>
    <t>Lee County School District (KY)</t>
  </si>
  <si>
    <t>Lee County Schools (NC)</t>
  </si>
  <si>
    <t>Macon County R-IV School District (MO)</t>
  </si>
  <si>
    <t>Macon County Schools (TN)</t>
  </si>
  <si>
    <t>Orange County Public Schools (VA)</t>
  </si>
  <si>
    <t>Orange County Public Schools (FL)</t>
  </si>
  <si>
    <t>Orange County Schools (NC)</t>
  </si>
  <si>
    <t xml:space="preserve">Pacifica School District </t>
  </si>
  <si>
    <t>Randolph County School System (AL)</t>
  </si>
  <si>
    <t>Randolph County Schools (NC)</t>
  </si>
  <si>
    <t>Rio Rancho PublIc Schools</t>
  </si>
  <si>
    <t>Sandy Plains Elementary School</t>
  </si>
  <si>
    <t>Client of SchoolWires</t>
  </si>
  <si>
    <t>Springfield Public Schools (?)</t>
  </si>
  <si>
    <t>GE Foundation, National Public Education Support Fund, Nellie Mae Education</t>
  </si>
  <si>
    <t>Quilt, The</t>
  </si>
  <si>
    <t>Dixie Swearingen and Lori Menie</t>
  </si>
  <si>
    <t>Scott Merrick</t>
  </si>
  <si>
    <t>09/18/2013</t>
  </si>
  <si>
    <t>Nina Rees</t>
  </si>
  <si>
    <t>National Alliance for Public Charter School</t>
  </si>
  <si>
    <t>Holly Sagues</t>
  </si>
  <si>
    <t>Florida Virtual School</t>
  </si>
  <si>
    <t>Digital Promise League of Innovative Schools</t>
  </si>
  <si>
    <t>Hilary Shelton</t>
  </si>
  <si>
    <t>NAACP</t>
  </si>
  <si>
    <t>Software &amp; Information Industry Association</t>
  </si>
  <si>
    <t>Mark Schneiderman</t>
  </si>
  <si>
    <t>Christopher Paredes</t>
  </si>
  <si>
    <t>International Association For K-12 Online Learning</t>
  </si>
  <si>
    <t>Seth Bowers</t>
  </si>
  <si>
    <t>Beverly Eaves Perdue</t>
  </si>
  <si>
    <t>Robert Kraig</t>
  </si>
  <si>
    <t>Montana Telecommunications Association</t>
  </si>
  <si>
    <t>Martha L. Reid</t>
  </si>
  <si>
    <t>Mario De la Huerga</t>
  </si>
  <si>
    <t>Fernando Quiroz</t>
  </si>
  <si>
    <t>Alice Garvey</t>
  </si>
  <si>
    <t>Metro-Nashville Public Schools</t>
  </si>
  <si>
    <t>LEAD Commission and Common Sense Media</t>
  </si>
  <si>
    <t>Kathleen Hurley, Martin Wild, Jennifer Fosko, Erin Ryan, Alice Garvey</t>
  </si>
  <si>
    <t>Amy Biehl High School</t>
  </si>
  <si>
    <t>Orion Cable Systems</t>
  </si>
  <si>
    <t>Vermont Department of Libraries</t>
  </si>
  <si>
    <t>Lewis County CTE CooperativeRobert Kraig</t>
  </si>
  <si>
    <t>MNPS Virtual School</t>
  </si>
  <si>
    <t>Two Page Filings</t>
  </si>
  <si>
    <t>One Page Filers</t>
  </si>
  <si>
    <t>University of Michigan &amp; University of North Texas</t>
  </si>
  <si>
    <t>Filings of 3 or More Pages</t>
  </si>
  <si>
    <t>California County Superintendents Educational Services Association</t>
  </si>
  <si>
    <t>National School Boards Association (NSBA)</t>
  </si>
  <si>
    <t>Putnam City Schools</t>
  </si>
  <si>
    <t>09/20/2013</t>
  </si>
  <si>
    <t>REPLY TO COMMENTS</t>
  </si>
  <si>
    <t>Marion County Public Schools</t>
  </si>
  <si>
    <t>Tiffany American Horse</t>
  </si>
  <si>
    <t>09/19/2013</t>
  </si>
  <si>
    <t>Stephen Carr</t>
  </si>
  <si>
    <t>Shawn Witt</t>
  </si>
  <si>
    <t>Patricia Startz</t>
  </si>
  <si>
    <t>Lee Gambol</t>
  </si>
  <si>
    <t>Kansas City Public Library</t>
  </si>
  <si>
    <t>Judy Arzt</t>
  </si>
  <si>
    <t>Joseph McMonagle</t>
  </si>
  <si>
    <t>Jared Lamenzo</t>
  </si>
  <si>
    <t>Debbie Smith</t>
  </si>
  <si>
    <t>Bill Haley</t>
  </si>
  <si>
    <t>Andy Campbell</t>
  </si>
  <si>
    <t>GOGEBIC Community College</t>
  </si>
  <si>
    <t>Missouri State University West Plains</t>
  </si>
  <si>
    <t>Black River Technical College</t>
  </si>
  <si>
    <t>Miles Community College</t>
  </si>
  <si>
    <t>Valerie Wilson</t>
  </si>
  <si>
    <t>Sharon Clagett</t>
  </si>
  <si>
    <t>Rhonda Welmers</t>
  </si>
  <si>
    <t>Peter Pasque</t>
  </si>
  <si>
    <t>Patricia Carey</t>
  </si>
  <si>
    <t>Natalie Barnette</t>
  </si>
  <si>
    <t>Matthew Messer</t>
  </si>
  <si>
    <t>Lori Whitt</t>
  </si>
  <si>
    <t>Jeri Ramos</t>
  </si>
  <si>
    <t>Jennifer Moore</t>
  </si>
  <si>
    <t>Heidi Hamric</t>
  </si>
  <si>
    <t>Harendra Goonetilleke</t>
  </si>
  <si>
    <t>Hal Murphy</t>
  </si>
  <si>
    <t>Doug Vander Linden</t>
  </si>
  <si>
    <t>Doris Thomas</t>
  </si>
  <si>
    <t>Deborah McManus</t>
  </si>
  <si>
    <t>Cynthia Alderman</t>
  </si>
  <si>
    <t>Carol Muniz</t>
  </si>
  <si>
    <t>Bruce</t>
  </si>
  <si>
    <t>Amy Moore</t>
  </si>
  <si>
    <t>Union Public Schools</t>
  </si>
  <si>
    <t>Cleveland Museum of Natural History</t>
  </si>
  <si>
    <t>Northside ISD</t>
  </si>
  <si>
    <t>Fort Osage R1 School District</t>
  </si>
  <si>
    <t>Ann Arbor Public Schools</t>
  </si>
  <si>
    <t>Broadview Elementary SchoolPatricia Carey</t>
  </si>
  <si>
    <t>Boone County Schools</t>
  </si>
  <si>
    <t>Linn-Mar Community School District</t>
  </si>
  <si>
    <t>Tucker County Schools</t>
  </si>
  <si>
    <t>Etowah County Schools</t>
  </si>
  <si>
    <t>Burlington USD #244</t>
  </si>
  <si>
    <t xml:space="preserve">Billy Coleman - Superintendent, Bruce </t>
  </si>
  <si>
    <t>Rance Kirby, Andy Campbell</t>
  </si>
  <si>
    <t>FCC Link</t>
  </si>
  <si>
    <t>E-Rate Central Link</t>
  </si>
  <si>
    <t>Beverly Eaves Perdue and Myra Best</t>
  </si>
  <si>
    <t>3 or More Pages:</t>
  </si>
  <si>
    <t>1 Page:</t>
  </si>
  <si>
    <t>2 Pages:</t>
  </si>
  <si>
    <t>Comments</t>
  </si>
  <si>
    <t>Ex Parte</t>
  </si>
  <si>
    <t>E-Rate Central Links</t>
  </si>
  <si>
    <t>Reply 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</si>
</sst>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53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33" fillId="0" borderId="0" xfId="53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53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57421875" style="0" customWidth="1"/>
    <col min="2" max="2" width="76.28125" style="0" customWidth="1"/>
    <col min="3" max="3" width="43.140625" style="0" customWidth="1"/>
    <col min="4" max="4" width="14.57421875" style="0" customWidth="1"/>
    <col min="5" max="5" width="12.421875" style="0" customWidth="1"/>
    <col min="6" max="6" width="8.140625" style="0" customWidth="1"/>
    <col min="7" max="7" width="15.8515625" style="0" customWidth="1"/>
    <col min="8" max="8" width="39.00390625" style="0" customWidth="1"/>
    <col min="9" max="13" width="16.00390625" style="0" customWidth="1"/>
  </cols>
  <sheetData>
    <row r="1" spans="1:8" ht="12.75">
      <c r="A1" s="2" t="s">
        <v>806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1158</v>
      </c>
    </row>
    <row r="2" spans="1:8" ht="12.75">
      <c r="A2" t="s">
        <v>6</v>
      </c>
      <c r="B2" t="s">
        <v>1104</v>
      </c>
      <c r="D2" t="s">
        <v>1105</v>
      </c>
      <c r="E2" t="s">
        <v>1105</v>
      </c>
      <c r="F2" t="s">
        <v>10</v>
      </c>
      <c r="G2" t="s">
        <v>1106</v>
      </c>
      <c r="H2" s="1" t="str">
        <f>HYPERLINK("http://apps.fcc.gov/ecfs/document/view?id=7520944763","  (1 page)")</f>
        <v>  (1 page)</v>
      </c>
    </row>
    <row r="3" spans="1:8" ht="12.75">
      <c r="A3" t="s">
        <v>6</v>
      </c>
      <c r="B3" t="s">
        <v>1107</v>
      </c>
      <c r="D3" t="s">
        <v>1105</v>
      </c>
      <c r="E3" t="s">
        <v>1105</v>
      </c>
      <c r="F3" t="s">
        <v>10</v>
      </c>
      <c r="G3" t="s">
        <v>1106</v>
      </c>
      <c r="H3" s="1" t="str">
        <f>HYPERLINK("http://apps.fcc.gov/ecfs/document/view?id=7520944764","  (1 page)")</f>
        <v>  (1 page)</v>
      </c>
    </row>
    <row r="4" spans="1:8" ht="12.75">
      <c r="A4" t="s">
        <v>6</v>
      </c>
      <c r="B4" t="s">
        <v>1108</v>
      </c>
      <c r="D4" t="s">
        <v>1109</v>
      </c>
      <c r="E4" t="s">
        <v>1109</v>
      </c>
      <c r="F4" t="s">
        <v>10</v>
      </c>
      <c r="G4" t="s">
        <v>11</v>
      </c>
      <c r="H4" s="1" t="str">
        <f>HYPERLINK("http://apps.fcc.gov/ecfs/document/view?id=7520944712","  (1 page)")</f>
        <v>  (1 page)</v>
      </c>
    </row>
    <row r="5" spans="1:8" ht="12.75">
      <c r="A5" t="s">
        <v>6</v>
      </c>
      <c r="B5" t="s">
        <v>1110</v>
      </c>
      <c r="D5" t="s">
        <v>1109</v>
      </c>
      <c r="E5" t="s">
        <v>1109</v>
      </c>
      <c r="F5" t="s">
        <v>10</v>
      </c>
      <c r="G5" t="s">
        <v>11</v>
      </c>
      <c r="H5" s="1" t="str">
        <f>HYPERLINK("http://apps.fcc.gov/ecfs/document/view?id=7520944718","  (1 page)")</f>
        <v>  (1 page)</v>
      </c>
    </row>
    <row r="6" spans="1:8" ht="12.75">
      <c r="A6" t="s">
        <v>6</v>
      </c>
      <c r="B6" t="s">
        <v>1111</v>
      </c>
      <c r="D6" t="s">
        <v>1109</v>
      </c>
      <c r="E6" t="s">
        <v>1109</v>
      </c>
      <c r="F6" t="s">
        <v>10</v>
      </c>
      <c r="G6" t="s">
        <v>11</v>
      </c>
      <c r="H6" s="1" t="str">
        <f>HYPERLINK("http://apps.fcc.gov/ecfs/document/view?id=7520944710","  (1 page)")</f>
        <v>  (1 page)</v>
      </c>
    </row>
    <row r="7" spans="1:8" ht="12.75">
      <c r="A7" t="s">
        <v>6</v>
      </c>
      <c r="B7" t="s">
        <v>1112</v>
      </c>
      <c r="D7" t="s">
        <v>1109</v>
      </c>
      <c r="E7" t="s">
        <v>1109</v>
      </c>
      <c r="F7" t="s">
        <v>10</v>
      </c>
      <c r="G7" t="s">
        <v>11</v>
      </c>
      <c r="H7" s="1" t="str">
        <f>HYPERLINK("http://apps.fcc.gov/ecfs/document/view?id=7520944708","  (1 page)")</f>
        <v>  (1 page)</v>
      </c>
    </row>
    <row r="8" spans="1:8" ht="12.75">
      <c r="A8" t="s">
        <v>6</v>
      </c>
      <c r="B8" t="s">
        <v>429</v>
      </c>
      <c r="D8" t="s">
        <v>1109</v>
      </c>
      <c r="E8" t="s">
        <v>1109</v>
      </c>
      <c r="F8" t="s">
        <v>10</v>
      </c>
      <c r="G8" t="s">
        <v>11</v>
      </c>
      <c r="H8" s="1" t="str">
        <f>HYPERLINK("http://apps.fcc.gov/ecfs/document/view?id=7520944709","  (1 page)")</f>
        <v>  (1 page)</v>
      </c>
    </row>
    <row r="9" spans="1:8" ht="12.75">
      <c r="A9" t="s">
        <v>6</v>
      </c>
      <c r="B9" t="s">
        <v>1113</v>
      </c>
      <c r="D9" t="s">
        <v>1109</v>
      </c>
      <c r="E9" t="s">
        <v>1109</v>
      </c>
      <c r="F9" t="s">
        <v>10</v>
      </c>
      <c r="G9" t="s">
        <v>11</v>
      </c>
      <c r="H9" s="1" t="str">
        <f>HYPERLINK("http://apps.fcc.gov/ecfs/document/view?id=7520944716","  (1 page)")</f>
        <v>  (1 page)</v>
      </c>
    </row>
    <row r="10" spans="1:8" ht="12.75">
      <c r="A10" t="s">
        <v>6</v>
      </c>
      <c r="B10" t="s">
        <v>1114</v>
      </c>
      <c r="D10" t="s">
        <v>1109</v>
      </c>
      <c r="E10" t="s">
        <v>1109</v>
      </c>
      <c r="F10" t="s">
        <v>10</v>
      </c>
      <c r="G10" t="s">
        <v>11</v>
      </c>
      <c r="H10" s="1" t="str">
        <f>HYPERLINK("http://apps.fcc.gov/ecfs/document/view?id=7520944701","  (1 page)")</f>
        <v>  (1 page)</v>
      </c>
    </row>
    <row r="11" spans="1:8" ht="12.75">
      <c r="A11" t="s">
        <v>6</v>
      </c>
      <c r="B11" t="s">
        <v>1115</v>
      </c>
      <c r="D11" t="s">
        <v>1109</v>
      </c>
      <c r="E11" t="s">
        <v>1109</v>
      </c>
      <c r="F11" t="s">
        <v>10</v>
      </c>
      <c r="G11" t="s">
        <v>11</v>
      </c>
      <c r="H11" s="1" t="str">
        <f>HYPERLINK("http://apps.fcc.gov/ecfs/document/view?id=7520944713","  (1 page)")</f>
        <v>  (1 page)</v>
      </c>
    </row>
    <row r="12" spans="1:8" ht="12.75">
      <c r="A12" t="s">
        <v>6</v>
      </c>
      <c r="B12" t="s">
        <v>1116</v>
      </c>
      <c r="D12" t="s">
        <v>1109</v>
      </c>
      <c r="E12" t="s">
        <v>1109</v>
      </c>
      <c r="F12" t="s">
        <v>10</v>
      </c>
      <c r="G12" t="s">
        <v>11</v>
      </c>
      <c r="H12" s="1" t="str">
        <f>HYPERLINK("http://apps.fcc.gov/ecfs/document/view?id=7520944719","  (1 page)")</f>
        <v>  (1 page)</v>
      </c>
    </row>
    <row r="13" spans="1:8" ht="12.75">
      <c r="A13" t="s">
        <v>6</v>
      </c>
      <c r="B13" t="s">
        <v>1117</v>
      </c>
      <c r="D13" t="s">
        <v>1109</v>
      </c>
      <c r="E13" t="s">
        <v>1109</v>
      </c>
      <c r="F13" t="s">
        <v>10</v>
      </c>
      <c r="G13" t="s">
        <v>11</v>
      </c>
      <c r="H13" s="1" t="str">
        <f>HYPERLINK("http://apps.fcc.gov/ecfs/document/view?id=7520944715","  (1 page)")</f>
        <v>  (1 page)</v>
      </c>
    </row>
    <row r="14" spans="1:8" ht="12.75">
      <c r="A14" t="s">
        <v>6</v>
      </c>
      <c r="B14" t="s">
        <v>1118</v>
      </c>
      <c r="D14" t="s">
        <v>1109</v>
      </c>
      <c r="E14" t="s">
        <v>1109</v>
      </c>
      <c r="F14" t="s">
        <v>10</v>
      </c>
      <c r="G14" t="s">
        <v>11</v>
      </c>
      <c r="H14" s="1" t="str">
        <f>HYPERLINK("http://apps.fcc.gov/ecfs/document/view?id=7520944714","  (1 page)")</f>
        <v>  (1 page)</v>
      </c>
    </row>
    <row r="15" spans="1:8" ht="12.75">
      <c r="A15" t="s">
        <v>6</v>
      </c>
      <c r="B15" t="s">
        <v>1119</v>
      </c>
      <c r="D15" t="s">
        <v>1109</v>
      </c>
      <c r="E15" t="s">
        <v>1109</v>
      </c>
      <c r="F15" t="s">
        <v>10</v>
      </c>
      <c r="G15" t="s">
        <v>11</v>
      </c>
      <c r="H15" s="1" t="str">
        <f>HYPERLINK("http://apps.fcc.gov/ecfs/document/view?id=7520944717","  (1 page)")</f>
        <v>  (1 page)</v>
      </c>
    </row>
    <row r="16" spans="1:8" ht="12.75">
      <c r="A16" t="s">
        <v>6</v>
      </c>
      <c r="B16" t="s">
        <v>1120</v>
      </c>
      <c r="D16" t="s">
        <v>1109</v>
      </c>
      <c r="E16" t="s">
        <v>1109</v>
      </c>
      <c r="F16" t="s">
        <v>10</v>
      </c>
      <c r="G16" t="s">
        <v>11</v>
      </c>
      <c r="H16" s="1" t="str">
        <f>HYPERLINK("http://apps.fcc.gov/ecfs/document/view?id=7520944711","  (1 page)")</f>
        <v>  (1 page)</v>
      </c>
    </row>
    <row r="17" spans="1:8" ht="12.75">
      <c r="A17" t="s">
        <v>6</v>
      </c>
      <c r="B17" t="s">
        <v>1121</v>
      </c>
      <c r="D17" t="s">
        <v>598</v>
      </c>
      <c r="E17" t="s">
        <v>1109</v>
      </c>
      <c r="F17" t="s">
        <v>10</v>
      </c>
      <c r="G17" t="s">
        <v>11</v>
      </c>
      <c r="H17" s="1" t="str">
        <f>HYPERLINK("http://apps.fcc.gov/ecfs/document/view?id=7520944653","  (2 pages)")</f>
        <v>  (2 pages)</v>
      </c>
    </row>
    <row r="18" spans="1:8" ht="12.75">
      <c r="A18" t="s">
        <v>6</v>
      </c>
      <c r="B18" t="s">
        <v>1122</v>
      </c>
      <c r="D18" t="s">
        <v>598</v>
      </c>
      <c r="E18" t="s">
        <v>1109</v>
      </c>
      <c r="F18" t="s">
        <v>10</v>
      </c>
      <c r="G18" t="s">
        <v>11</v>
      </c>
      <c r="H18" s="1" t="str">
        <f>HYPERLINK("http://apps.fcc.gov/ecfs/document/view?id=7520944652","  (2 pages)")</f>
        <v>  (2 pages)</v>
      </c>
    </row>
    <row r="19" spans="1:8" ht="12.75">
      <c r="A19" t="s">
        <v>6</v>
      </c>
      <c r="B19" t="s">
        <v>1123</v>
      </c>
      <c r="D19" t="s">
        <v>598</v>
      </c>
      <c r="E19" t="s">
        <v>1109</v>
      </c>
      <c r="F19" t="s">
        <v>10</v>
      </c>
      <c r="G19" t="s">
        <v>11</v>
      </c>
      <c r="H19" s="1" t="str">
        <f>HYPERLINK("http://apps.fcc.gov/ecfs/document/view?id=7520944648","  (2 pages)")</f>
        <v>  (2 pages)</v>
      </c>
    </row>
    <row r="20" spans="1:8" ht="12.75">
      <c r="A20" t="s">
        <v>6</v>
      </c>
      <c r="B20" t="s">
        <v>1124</v>
      </c>
      <c r="D20" t="s">
        <v>598</v>
      </c>
      <c r="E20" t="s">
        <v>1109</v>
      </c>
      <c r="F20" t="s">
        <v>10</v>
      </c>
      <c r="G20" t="s">
        <v>11</v>
      </c>
      <c r="H20" s="1" t="str">
        <f>HYPERLINK("http://apps.fcc.gov/ecfs/document/view?id=7520944601","  (2 pages)")</f>
        <v>  (2 pages)</v>
      </c>
    </row>
    <row r="21" spans="1:8" ht="12.75">
      <c r="A21" t="s">
        <v>6</v>
      </c>
      <c r="B21" t="s">
        <v>1125</v>
      </c>
      <c r="D21" t="s">
        <v>1070</v>
      </c>
      <c r="E21" t="s">
        <v>1109</v>
      </c>
      <c r="F21" t="s">
        <v>10</v>
      </c>
      <c r="G21" t="s">
        <v>11</v>
      </c>
      <c r="H21" s="1" t="str">
        <f>HYPERLINK("http://apps.fcc.gov/ecfs/document/view?id=7520944432","  (1 page)")</f>
        <v>  (1 page)</v>
      </c>
    </row>
    <row r="22" spans="1:8" ht="12.75">
      <c r="A22" t="s">
        <v>6</v>
      </c>
      <c r="B22" t="s">
        <v>782</v>
      </c>
      <c r="D22" t="s">
        <v>1109</v>
      </c>
      <c r="E22" t="s">
        <v>1109</v>
      </c>
      <c r="F22" t="s">
        <v>341</v>
      </c>
      <c r="G22" t="s">
        <v>342</v>
      </c>
      <c r="H22" s="1" t="str">
        <f>HYPERLINK("http://apps.fcc.gov/ecfs/document/view?id=7520944582","Massachusetts School District Ex Parte (4 pages)")</f>
        <v>Massachusetts School District Ex Parte (4 pages)</v>
      </c>
    </row>
    <row r="23" spans="1:8" ht="12.75">
      <c r="A23" t="s">
        <v>6</v>
      </c>
      <c r="B23" t="s">
        <v>1126</v>
      </c>
      <c r="D23" t="s">
        <v>1070</v>
      </c>
      <c r="E23" t="s">
        <v>1109</v>
      </c>
      <c r="F23" t="s">
        <v>10</v>
      </c>
      <c r="G23" t="s">
        <v>11</v>
      </c>
      <c r="H23" s="1" t="str">
        <f>HYPERLINK("http://apps.fcc.gov/ecfs/document/view?id=7520944452","  (1 page)")</f>
        <v>  (1 page)</v>
      </c>
    </row>
    <row r="24" spans="1:8" ht="12.75">
      <c r="A24" t="s">
        <v>6</v>
      </c>
      <c r="B24" t="s">
        <v>1127</v>
      </c>
      <c r="D24" t="s">
        <v>1070</v>
      </c>
      <c r="E24" t="s">
        <v>1109</v>
      </c>
      <c r="F24" t="s">
        <v>10</v>
      </c>
      <c r="G24" t="s">
        <v>11</v>
      </c>
      <c r="H24" s="1" t="str">
        <f>HYPERLINK("http://apps.fcc.gov/ecfs/document/view?id=7520944466","  (1 page)")</f>
        <v>  (1 page)</v>
      </c>
    </row>
    <row r="25" spans="1:8" ht="12.75">
      <c r="A25" t="s">
        <v>6</v>
      </c>
      <c r="B25" t="s">
        <v>89</v>
      </c>
      <c r="D25" t="s">
        <v>1070</v>
      </c>
      <c r="E25" t="s">
        <v>1109</v>
      </c>
      <c r="F25" t="s">
        <v>341</v>
      </c>
      <c r="G25" t="s">
        <v>342</v>
      </c>
      <c r="H25" s="1" t="str">
        <f>HYPERLINK("http://apps.fcc.gov/ecfs/document/view?id=7520944496","  (1 page)")</f>
        <v>  (1 page)</v>
      </c>
    </row>
    <row r="26" spans="1:8" ht="12.75">
      <c r="A26" t="s">
        <v>6</v>
      </c>
      <c r="B26" t="s">
        <v>1128</v>
      </c>
      <c r="D26" t="s">
        <v>1070</v>
      </c>
      <c r="E26" t="s">
        <v>1109</v>
      </c>
      <c r="F26" t="s">
        <v>10</v>
      </c>
      <c r="G26" t="s">
        <v>11</v>
      </c>
      <c r="H26" s="1" t="str">
        <f>HYPERLINK("http://apps.fcc.gov/ecfs/document/view?id=7520944460","  (1 page)")</f>
        <v>  (1 page)</v>
      </c>
    </row>
    <row r="27" spans="1:8" ht="12.75">
      <c r="A27" t="s">
        <v>6</v>
      </c>
      <c r="B27" t="s">
        <v>1129</v>
      </c>
      <c r="D27" t="s">
        <v>1070</v>
      </c>
      <c r="E27" t="s">
        <v>1109</v>
      </c>
      <c r="F27" t="s">
        <v>10</v>
      </c>
      <c r="G27" t="s">
        <v>11</v>
      </c>
      <c r="H27" s="1" t="str">
        <f>HYPERLINK("http://apps.fcc.gov/ecfs/document/view?id=7520944442","  (1 page)")</f>
        <v>  (1 page)</v>
      </c>
    </row>
    <row r="28" spans="1:8" ht="12.75">
      <c r="A28" t="s">
        <v>6</v>
      </c>
      <c r="B28" t="s">
        <v>1130</v>
      </c>
      <c r="D28" t="s">
        <v>1070</v>
      </c>
      <c r="E28" t="s">
        <v>1109</v>
      </c>
      <c r="F28" t="s">
        <v>10</v>
      </c>
      <c r="G28" t="s">
        <v>11</v>
      </c>
      <c r="H28" s="1" t="str">
        <f>HYPERLINK("http://apps.fcc.gov/ecfs/document/view?id=7520944454","  (1 page)")</f>
        <v>  (1 page)</v>
      </c>
    </row>
    <row r="29" spans="1:8" ht="12.75">
      <c r="A29" t="s">
        <v>6</v>
      </c>
      <c r="B29" t="s">
        <v>1131</v>
      </c>
      <c r="D29" t="s">
        <v>1070</v>
      </c>
      <c r="E29" t="s">
        <v>1109</v>
      </c>
      <c r="F29" t="s">
        <v>10</v>
      </c>
      <c r="G29" t="s">
        <v>11</v>
      </c>
      <c r="H29" s="1" t="str">
        <f>HYPERLINK("http://apps.fcc.gov/ecfs/document/view?id=7520944439","  (1 page)")</f>
        <v>  (1 page)</v>
      </c>
    </row>
    <row r="30" spans="1:8" ht="12.75">
      <c r="A30" t="s">
        <v>6</v>
      </c>
      <c r="B30" t="s">
        <v>1132</v>
      </c>
      <c r="D30" t="s">
        <v>1070</v>
      </c>
      <c r="E30" t="s">
        <v>1109</v>
      </c>
      <c r="F30" t="s">
        <v>10</v>
      </c>
      <c r="G30" t="s">
        <v>11</v>
      </c>
      <c r="H30" s="1" t="str">
        <f>HYPERLINK("http://apps.fcc.gov/ecfs/document/view?id=7520944459","  (1 page)")</f>
        <v>  (1 page)</v>
      </c>
    </row>
    <row r="31" spans="1:8" ht="12.75">
      <c r="A31" t="s">
        <v>6</v>
      </c>
      <c r="B31" t="s">
        <v>611</v>
      </c>
      <c r="D31" t="s">
        <v>1070</v>
      </c>
      <c r="E31" t="s">
        <v>1109</v>
      </c>
      <c r="F31" t="s">
        <v>10</v>
      </c>
      <c r="G31" t="s">
        <v>11</v>
      </c>
      <c r="H31" s="1" t="str">
        <f>HYPERLINK("http://apps.fcc.gov/ecfs/document/view?id=7520944446","  (1 page)")</f>
        <v>  (1 page)</v>
      </c>
    </row>
    <row r="32" spans="1:8" ht="12.75">
      <c r="A32" t="s">
        <v>6</v>
      </c>
      <c r="B32" t="s">
        <v>616</v>
      </c>
      <c r="D32" t="s">
        <v>1070</v>
      </c>
      <c r="E32" t="s">
        <v>1109</v>
      </c>
      <c r="F32" t="s">
        <v>10</v>
      </c>
      <c r="G32" t="s">
        <v>11</v>
      </c>
      <c r="H32" s="1" t="str">
        <f>HYPERLINK("http://apps.fcc.gov/ecfs/document/view?id=7520944445","  (1 page)")</f>
        <v>  (1 page)</v>
      </c>
    </row>
    <row r="33" spans="1:8" ht="12.75">
      <c r="A33" t="s">
        <v>6</v>
      </c>
      <c r="B33" t="s">
        <v>1133</v>
      </c>
      <c r="D33" t="s">
        <v>1070</v>
      </c>
      <c r="E33" t="s">
        <v>1109</v>
      </c>
      <c r="F33" t="s">
        <v>10</v>
      </c>
      <c r="G33" t="s">
        <v>11</v>
      </c>
      <c r="H33" s="1" t="str">
        <f>HYPERLINK("http://apps.fcc.gov/ecfs/document/view?id=7520944444","  (1 page)")</f>
        <v>  (1 page)</v>
      </c>
    </row>
    <row r="34" spans="1:8" ht="12.75">
      <c r="A34" t="s">
        <v>6</v>
      </c>
      <c r="B34" t="s">
        <v>1134</v>
      </c>
      <c r="D34" t="s">
        <v>1070</v>
      </c>
      <c r="E34" t="s">
        <v>1109</v>
      </c>
      <c r="F34" t="s">
        <v>10</v>
      </c>
      <c r="G34" t="s">
        <v>11</v>
      </c>
      <c r="H34" s="1" t="str">
        <f>HYPERLINK("http://apps.fcc.gov/ecfs/document/view?id=7520944431","  (1 page)")</f>
        <v>  (1 page)</v>
      </c>
    </row>
    <row r="35" spans="1:8" ht="12.75">
      <c r="A35" t="s">
        <v>6</v>
      </c>
      <c r="B35" t="s">
        <v>1135</v>
      </c>
      <c r="D35" t="s">
        <v>1070</v>
      </c>
      <c r="E35" t="s">
        <v>1109</v>
      </c>
      <c r="F35" t="s">
        <v>10</v>
      </c>
      <c r="G35" t="s">
        <v>11</v>
      </c>
      <c r="H35" s="1" t="str">
        <f>HYPERLINK("http://apps.fcc.gov/ecfs/document/view?id=7520944443","  (1 page)")</f>
        <v>  (1 page)</v>
      </c>
    </row>
    <row r="36" spans="1:8" ht="12.75">
      <c r="A36" t="s">
        <v>6</v>
      </c>
      <c r="B36" t="s">
        <v>1136</v>
      </c>
      <c r="D36" t="s">
        <v>1070</v>
      </c>
      <c r="E36" t="s">
        <v>1109</v>
      </c>
      <c r="F36" t="s">
        <v>10</v>
      </c>
      <c r="G36" t="s">
        <v>11</v>
      </c>
      <c r="H36" s="1" t="str">
        <f>HYPERLINK("http://apps.fcc.gov/ecfs/document/view?id=7520944478","  (1 page)")</f>
        <v>  (1 page)</v>
      </c>
    </row>
    <row r="37" spans="1:8" ht="12.75">
      <c r="A37" t="s">
        <v>6</v>
      </c>
      <c r="B37" t="s">
        <v>1137</v>
      </c>
      <c r="D37" t="s">
        <v>1070</v>
      </c>
      <c r="E37" t="s">
        <v>1109</v>
      </c>
      <c r="F37" t="s">
        <v>10</v>
      </c>
      <c r="G37" t="s">
        <v>11</v>
      </c>
      <c r="H37" s="1" t="str">
        <f>HYPERLINK("http://apps.fcc.gov/ecfs/document/view?id=7520944436","  (1 page)")</f>
        <v>  (1 page)</v>
      </c>
    </row>
    <row r="38" spans="1:8" ht="12.75">
      <c r="A38" t="s">
        <v>6</v>
      </c>
      <c r="B38" t="s">
        <v>1138</v>
      </c>
      <c r="D38" t="s">
        <v>1070</v>
      </c>
      <c r="E38" t="s">
        <v>1109</v>
      </c>
      <c r="F38" t="s">
        <v>10</v>
      </c>
      <c r="G38" t="s">
        <v>11</v>
      </c>
      <c r="H38" s="1" t="str">
        <f>HYPERLINK("http://apps.fcc.gov/ecfs/document/view?id=7520944447","  (1 page)")</f>
        <v>  (1 page)</v>
      </c>
    </row>
    <row r="39" spans="1:8" ht="12.75">
      <c r="A39" t="s">
        <v>6</v>
      </c>
      <c r="B39" t="s">
        <v>1139</v>
      </c>
      <c r="D39" t="s">
        <v>1070</v>
      </c>
      <c r="E39" t="s">
        <v>1109</v>
      </c>
      <c r="F39" t="s">
        <v>10</v>
      </c>
      <c r="G39" t="s">
        <v>11</v>
      </c>
      <c r="H39" s="1" t="str">
        <f>HYPERLINK("http://apps.fcc.gov/ecfs/document/view?id=7520944449","  (1 page)")</f>
        <v>  (1 page)</v>
      </c>
    </row>
    <row r="40" spans="1:8" ht="12.75">
      <c r="A40" t="s">
        <v>6</v>
      </c>
      <c r="B40" t="s">
        <v>1140</v>
      </c>
      <c r="D40" t="s">
        <v>1070</v>
      </c>
      <c r="E40" t="s">
        <v>1109</v>
      </c>
      <c r="F40" t="s">
        <v>10</v>
      </c>
      <c r="G40" t="s">
        <v>11</v>
      </c>
      <c r="H40" s="1" t="str">
        <f>HYPERLINK("http://apps.fcc.gov/ecfs/document/view?id=7520944471","  (1 page)")</f>
        <v>  (1 page)</v>
      </c>
    </row>
    <row r="41" spans="1:8" ht="12.75">
      <c r="A41" t="s">
        <v>6</v>
      </c>
      <c r="B41" t="s">
        <v>1141</v>
      </c>
      <c r="D41" t="s">
        <v>1070</v>
      </c>
      <c r="E41" t="s">
        <v>1109</v>
      </c>
      <c r="F41" t="s">
        <v>10</v>
      </c>
      <c r="G41" t="s">
        <v>11</v>
      </c>
      <c r="H41" s="1" t="str">
        <f>HYPERLINK("http://apps.fcc.gov/ecfs/document/view?id=7520944462","  (1 page)")</f>
        <v>  (1 page)</v>
      </c>
    </row>
    <row r="42" spans="1:8" ht="12.75">
      <c r="A42" t="s">
        <v>6</v>
      </c>
      <c r="B42" t="s">
        <v>1142</v>
      </c>
      <c r="D42" t="s">
        <v>1070</v>
      </c>
      <c r="E42" t="s">
        <v>1109</v>
      </c>
      <c r="F42" t="s">
        <v>10</v>
      </c>
      <c r="G42" t="s">
        <v>11</v>
      </c>
      <c r="H42" s="1" t="str">
        <f>HYPERLINK("http://apps.fcc.gov/ecfs/document/view?id=7520944450","  (1 page)")</f>
        <v>  (1 page)</v>
      </c>
    </row>
    <row r="43" spans="1:9" ht="12.75">
      <c r="A43" t="s">
        <v>6</v>
      </c>
      <c r="B43" t="s">
        <v>1143</v>
      </c>
      <c r="D43" t="s">
        <v>1070</v>
      </c>
      <c r="E43" t="s">
        <v>1109</v>
      </c>
      <c r="F43" t="s">
        <v>10</v>
      </c>
      <c r="G43" t="s">
        <v>11</v>
      </c>
      <c r="H43" s="1" t="str">
        <f>HYPERLINK("http://apps.fcc.gov/ecfs/document/view?id=7520944429","  (1 page)")</f>
        <v>  (1 page)</v>
      </c>
      <c r="I43" s="1" t="str">
        <f>HYPERLINK("http://apps.fcc.gov/ecfs/document/view?id=7520944430","  (1 page)")</f>
        <v>  (1 page)</v>
      </c>
    </row>
    <row r="44" spans="1:8" ht="12.75">
      <c r="A44" t="s">
        <v>6</v>
      </c>
      <c r="B44" t="s">
        <v>1144</v>
      </c>
      <c r="D44" t="s">
        <v>1070</v>
      </c>
      <c r="E44" t="s">
        <v>1109</v>
      </c>
      <c r="F44" t="s">
        <v>10</v>
      </c>
      <c r="G44" t="s">
        <v>11</v>
      </c>
      <c r="H44" s="1" t="str">
        <f>HYPERLINK("http://apps.fcc.gov/ecfs/document/view?id=7520944448","  (1 page)")</f>
        <v>  (1 page)</v>
      </c>
    </row>
    <row r="45" spans="1:8" ht="12.75">
      <c r="A45" t="s">
        <v>6</v>
      </c>
      <c r="B45" t="s">
        <v>1069</v>
      </c>
      <c r="D45" t="s">
        <v>764</v>
      </c>
      <c r="E45" t="s">
        <v>1070</v>
      </c>
      <c r="F45" t="s">
        <v>10</v>
      </c>
      <c r="G45" t="s">
        <v>11</v>
      </c>
      <c r="H45" s="1" t="str">
        <f>HYPERLINK("http://apps.fcc.gov/ecfs/document/view?id=7520944428","  (3 pages)")</f>
        <v>  (3 pages)</v>
      </c>
    </row>
    <row r="46" spans="1:8" ht="12.75">
      <c r="A46" t="s">
        <v>6</v>
      </c>
      <c r="B46" t="s">
        <v>1071</v>
      </c>
      <c r="D46" t="s">
        <v>764</v>
      </c>
      <c r="E46" t="s">
        <v>1070</v>
      </c>
      <c r="F46" t="s">
        <v>10</v>
      </c>
      <c r="G46" t="s">
        <v>11</v>
      </c>
      <c r="H46" s="1" t="str">
        <f>HYPERLINK("http://apps.fcc.gov/ecfs/document/view?id=7520944425","  (1 page)")</f>
        <v>  (1 page)</v>
      </c>
    </row>
    <row r="47" spans="1:8" ht="12.75">
      <c r="A47" t="s">
        <v>6</v>
      </c>
      <c r="B47" t="s">
        <v>1072</v>
      </c>
      <c r="D47" t="s">
        <v>21</v>
      </c>
      <c r="E47" t="s">
        <v>1070</v>
      </c>
      <c r="F47" t="s">
        <v>10</v>
      </c>
      <c r="G47" t="s">
        <v>11</v>
      </c>
      <c r="H47" s="1" t="str">
        <f>HYPERLINK("http://apps.fcc.gov/ecfs/document/view?id=7520944423","  (4 pages)")</f>
        <v>  (4 pages)</v>
      </c>
    </row>
    <row r="48" spans="1:8" ht="12.75">
      <c r="A48" t="s">
        <v>6</v>
      </c>
      <c r="B48" t="s">
        <v>1073</v>
      </c>
      <c r="D48" t="s">
        <v>764</v>
      </c>
      <c r="E48" t="s">
        <v>1070</v>
      </c>
      <c r="F48" t="s">
        <v>10</v>
      </c>
      <c r="G48" t="s">
        <v>11</v>
      </c>
      <c r="H48" s="1" t="str">
        <f>HYPERLINK("http://apps.fcc.gov/ecfs/document/view?id=7520944422","  (1 page)")</f>
        <v>  (1 page)</v>
      </c>
    </row>
    <row r="49" spans="1:8" ht="12.75">
      <c r="A49" t="s">
        <v>6</v>
      </c>
      <c r="B49" t="s">
        <v>1074</v>
      </c>
      <c r="D49" t="s">
        <v>21</v>
      </c>
      <c r="E49" t="s">
        <v>1070</v>
      </c>
      <c r="F49" t="s">
        <v>10</v>
      </c>
      <c r="G49" t="s">
        <v>11</v>
      </c>
      <c r="H49" s="1" t="str">
        <f>HYPERLINK("http://apps.fcc.gov/ecfs/document/view?id=7520944421","  (2 pages)")</f>
        <v>  (2 pages)</v>
      </c>
    </row>
    <row r="50" spans="1:8" ht="12.75">
      <c r="A50" t="s">
        <v>6</v>
      </c>
      <c r="B50" t="s">
        <v>1075</v>
      </c>
      <c r="D50" t="s">
        <v>21</v>
      </c>
      <c r="E50" t="s">
        <v>1070</v>
      </c>
      <c r="F50" t="s">
        <v>10</v>
      </c>
      <c r="G50" t="s">
        <v>11</v>
      </c>
      <c r="H50" s="3" t="str">
        <f>HYPERLINK("http://apps.fcc.gov/ecfs/document/view?id=7520945082","(3 pages)")</f>
        <v>(3 pages)</v>
      </c>
    </row>
    <row r="51" spans="1:8" ht="12.75">
      <c r="A51" t="s">
        <v>6</v>
      </c>
      <c r="B51" t="s">
        <v>1076</v>
      </c>
      <c r="D51" t="s">
        <v>764</v>
      </c>
      <c r="E51" t="s">
        <v>1070</v>
      </c>
      <c r="F51" t="s">
        <v>10</v>
      </c>
      <c r="G51" t="s">
        <v>11</v>
      </c>
      <c r="H51" s="1" t="str">
        <f>HYPERLINK("http://apps.fcc.gov/ecfs/document/view?id=7520944413","  (3 pages)")</f>
        <v>  (3 pages)</v>
      </c>
    </row>
    <row r="52" spans="1:8" ht="12.75">
      <c r="A52" t="s">
        <v>6</v>
      </c>
      <c r="B52" t="s">
        <v>1077</v>
      </c>
      <c r="D52" t="s">
        <v>21</v>
      </c>
      <c r="E52" t="s">
        <v>1070</v>
      </c>
      <c r="F52" t="s">
        <v>10</v>
      </c>
      <c r="G52" t="s">
        <v>11</v>
      </c>
      <c r="H52" s="1" t="str">
        <f>HYPERLINK("http://apps.fcc.gov/ecfs/document/view?id=7520944408","  (2 pages)")</f>
        <v>  (2 pages)</v>
      </c>
    </row>
    <row r="53" spans="1:8" ht="12.75">
      <c r="A53" t="s">
        <v>6</v>
      </c>
      <c r="B53" t="s">
        <v>1078</v>
      </c>
      <c r="D53" t="s">
        <v>21</v>
      </c>
      <c r="E53" t="s">
        <v>1070</v>
      </c>
      <c r="F53" t="s">
        <v>10</v>
      </c>
      <c r="G53" t="s">
        <v>11</v>
      </c>
      <c r="H53" s="1" t="str">
        <f>HYPERLINK("http://apps.fcc.gov/ecfs/document/view?id=7520944405","  (9 pages)")</f>
        <v>  (9 pages)</v>
      </c>
    </row>
    <row r="54" spans="1:8" ht="12.75">
      <c r="A54" t="s">
        <v>6</v>
      </c>
      <c r="B54" t="s">
        <v>1079</v>
      </c>
      <c r="D54" t="s">
        <v>764</v>
      </c>
      <c r="E54" t="s">
        <v>1070</v>
      </c>
      <c r="F54" t="s">
        <v>10</v>
      </c>
      <c r="G54" t="s">
        <v>11</v>
      </c>
      <c r="H54" s="1" t="str">
        <f>HYPERLINK("http://apps.fcc.gov/ecfs/document/view?id=7520944403","  (1 page)")</f>
        <v>  (1 page)</v>
      </c>
    </row>
    <row r="55" spans="1:8" ht="12.75">
      <c r="A55" t="s">
        <v>6</v>
      </c>
      <c r="B55" t="s">
        <v>1080</v>
      </c>
      <c r="D55" t="s">
        <v>764</v>
      </c>
      <c r="E55" t="s">
        <v>1070</v>
      </c>
      <c r="F55" t="s">
        <v>10</v>
      </c>
      <c r="G55" t="s">
        <v>11</v>
      </c>
      <c r="H55" s="1" t="str">
        <f>HYPERLINK("http://apps.fcc.gov/ecfs/document/view?id=7520944399","  (1 page)")</f>
        <v>  (1 page)</v>
      </c>
    </row>
    <row r="56" spans="1:8" ht="12.75">
      <c r="A56" t="s">
        <v>6</v>
      </c>
      <c r="B56" t="s">
        <v>1081</v>
      </c>
      <c r="D56" t="s">
        <v>21</v>
      </c>
      <c r="E56" t="s">
        <v>1070</v>
      </c>
      <c r="F56" t="s">
        <v>10</v>
      </c>
      <c r="G56" t="s">
        <v>11</v>
      </c>
      <c r="H56" s="3" t="str">
        <f>HYPERLINK("http://apps.fcc.gov/ecfs/document/view?id=7520945056","(26 pages)")</f>
        <v>(26 pages)</v>
      </c>
    </row>
    <row r="57" spans="1:8" ht="12.75">
      <c r="A57" t="s">
        <v>6</v>
      </c>
      <c r="B57" t="s">
        <v>1082</v>
      </c>
      <c r="D57" t="s">
        <v>1070</v>
      </c>
      <c r="E57" t="s">
        <v>1070</v>
      </c>
      <c r="F57" t="s">
        <v>10</v>
      </c>
      <c r="G57" t="s">
        <v>11</v>
      </c>
      <c r="H57" s="1" t="str">
        <f>HYPERLINK("http://apps.fcc.gov/ecfs/document/view?id=7520944385","  (2 pages)")</f>
        <v>  (2 pages)</v>
      </c>
    </row>
    <row r="58" spans="1:8" ht="12.75">
      <c r="A58" t="s">
        <v>6</v>
      </c>
      <c r="B58" t="s">
        <v>114</v>
      </c>
      <c r="D58" t="s">
        <v>764</v>
      </c>
      <c r="E58" t="s">
        <v>1070</v>
      </c>
      <c r="F58" t="s">
        <v>10</v>
      </c>
      <c r="G58" t="s">
        <v>11</v>
      </c>
      <c r="H58" s="1" t="str">
        <f>HYPERLINK("http://apps.fcc.gov/ecfs/document/view?id=7520944392","  (1 page)")</f>
        <v>  (1 page)</v>
      </c>
    </row>
    <row r="59" spans="1:8" ht="12.75">
      <c r="A59" t="s">
        <v>6</v>
      </c>
      <c r="B59" t="s">
        <v>1083</v>
      </c>
      <c r="D59" t="s">
        <v>21</v>
      </c>
      <c r="E59" t="s">
        <v>1070</v>
      </c>
      <c r="F59" t="s">
        <v>10</v>
      </c>
      <c r="G59" t="s">
        <v>11</v>
      </c>
      <c r="H59" s="1" t="str">
        <f>HYPERLINK("http://apps.fcc.gov/ecfs/document/view?id=7520944390","  (7 pages)")</f>
        <v>  (7 pages)</v>
      </c>
    </row>
    <row r="60" spans="1:10" ht="12.75">
      <c r="A60" t="s">
        <v>6</v>
      </c>
      <c r="B60" t="s">
        <v>133</v>
      </c>
      <c r="D60" t="s">
        <v>1070</v>
      </c>
      <c r="E60" t="s">
        <v>1070</v>
      </c>
      <c r="F60" t="s">
        <v>10</v>
      </c>
      <c r="G60" t="s">
        <v>127</v>
      </c>
      <c r="H60" s="1" t="str">
        <f>HYPERLINK("http://apps.fcc.gov/ecfs/document/view?id=7520944362","LEAD Blueprint (3 pages)")</f>
        <v>LEAD Blueprint (3 pages)</v>
      </c>
      <c r="I60" s="1" t="str">
        <f>HYPERLINK("http://apps.fcc.gov/ecfs/document/view?id=7520944363","UPDATED LEAD Report (16 pages)")</f>
        <v>UPDATED LEAD Report (16 pages)</v>
      </c>
      <c r="J60" s="1" t="str">
        <f>HYPERLINK("http://apps.fcc.gov/ecfs/document/view?id=7520944365","UPDATED LEAD Comment (10 pages)")</f>
        <v>UPDATED LEAD Comment (10 pages)</v>
      </c>
    </row>
    <row r="61" spans="1:10" ht="12.75">
      <c r="A61" t="s">
        <v>6</v>
      </c>
      <c r="B61" t="s">
        <v>133</v>
      </c>
      <c r="D61" t="s">
        <v>1070</v>
      </c>
      <c r="E61" t="s">
        <v>1070</v>
      </c>
      <c r="F61" t="s">
        <v>10</v>
      </c>
      <c r="G61" t="s">
        <v>127</v>
      </c>
      <c r="H61" s="1" t="str">
        <f>HYPERLINK("http://apps.fcc.gov/ecfs/document/view?id=7520944355","UPDATED LEAD Report (16 pages)")</f>
        <v>UPDATED LEAD Report (16 pages)</v>
      </c>
      <c r="I61" s="1" t="str">
        <f>HYPERLINK("http://apps.fcc.gov/ecfs/document/view?id=7520944356","LEAD Blueprint (3 pages)")</f>
        <v>LEAD Blueprint (3 pages)</v>
      </c>
      <c r="J61" s="1" t="str">
        <f>HYPERLINK("http://apps.fcc.gov/ecfs/document/view?id=7520944360","LEAD Blueprint (3 pages)")</f>
        <v>LEAD Blueprint (3 pages)</v>
      </c>
    </row>
    <row r="62" spans="1:8" ht="12.75">
      <c r="A62" t="s">
        <v>6</v>
      </c>
      <c r="B62" t="s">
        <v>177</v>
      </c>
      <c r="C62" t="s">
        <v>178</v>
      </c>
      <c r="D62" t="s">
        <v>1070</v>
      </c>
      <c r="E62" t="s">
        <v>1070</v>
      </c>
      <c r="F62" t="s">
        <v>10</v>
      </c>
      <c r="G62" t="s">
        <v>127</v>
      </c>
      <c r="H62" s="1" t="str">
        <f>HYPERLINK("http://apps.fcc.gov/ecfs/document/view?id=7520944359","Comments Corrected (20 pages)")</f>
        <v>Comments Corrected (20 pages)</v>
      </c>
    </row>
    <row r="63" spans="1:8" ht="12.75">
      <c r="A63" t="s">
        <v>6</v>
      </c>
      <c r="B63" t="s">
        <v>1084</v>
      </c>
      <c r="D63" t="s">
        <v>9</v>
      </c>
      <c r="E63" t="s">
        <v>1070</v>
      </c>
      <c r="F63" t="s">
        <v>10</v>
      </c>
      <c r="G63" t="s">
        <v>11</v>
      </c>
      <c r="H63" s="1" t="str">
        <f>HYPERLINK("http://apps.fcc.gov/ecfs/document/view?id=7520944335","  (2 pages)")</f>
        <v>  (2 pages)</v>
      </c>
    </row>
    <row r="64" spans="1:8" ht="12.75">
      <c r="A64" t="s">
        <v>6</v>
      </c>
      <c r="B64" t="s">
        <v>1084</v>
      </c>
      <c r="D64" t="s">
        <v>9</v>
      </c>
      <c r="E64" t="s">
        <v>1070</v>
      </c>
      <c r="F64" t="s">
        <v>10</v>
      </c>
      <c r="G64" t="s">
        <v>11</v>
      </c>
      <c r="H64" s="1" t="str">
        <f>HYPERLINK("http://apps.fcc.gov/ecfs/document/view?id=7520944329","  (2 pages)")</f>
        <v>  (2 pages)</v>
      </c>
    </row>
    <row r="65" spans="1:8" ht="12.75">
      <c r="A65" t="s">
        <v>6</v>
      </c>
      <c r="B65" t="s">
        <v>787</v>
      </c>
      <c r="D65" t="s">
        <v>788</v>
      </c>
      <c r="E65" t="s">
        <v>786</v>
      </c>
      <c r="F65" t="s">
        <v>341</v>
      </c>
      <c r="G65" t="s">
        <v>342</v>
      </c>
      <c r="H65" s="1" t="str">
        <f>HYPERLINK("http://apps.fcc.gov/ecfs/document/view?id=7520936442","  (1 page)")</f>
        <v>  (1 page)</v>
      </c>
    </row>
    <row r="66" spans="1:8" ht="12.75">
      <c r="A66" t="s">
        <v>6</v>
      </c>
      <c r="B66" t="s">
        <v>1086</v>
      </c>
      <c r="D66" t="s">
        <v>1070</v>
      </c>
      <c r="E66" t="s">
        <v>1070</v>
      </c>
      <c r="F66" t="s">
        <v>10</v>
      </c>
      <c r="G66" t="s">
        <v>11</v>
      </c>
      <c r="H66" s="1" t="str">
        <f>HYPERLINK("http://apps.fcc.gov/ecfs/document/view?id=7520944350","  (2 pages)")</f>
        <v>  (2 pages)</v>
      </c>
    </row>
    <row r="67" spans="1:8" ht="12.75">
      <c r="A67" t="s">
        <v>6</v>
      </c>
      <c r="B67" t="s">
        <v>1087</v>
      </c>
      <c r="D67" t="s">
        <v>9</v>
      </c>
      <c r="E67" t="s">
        <v>1070</v>
      </c>
      <c r="F67" t="s">
        <v>10</v>
      </c>
      <c r="G67" t="s">
        <v>11</v>
      </c>
      <c r="H67" s="1" t="str">
        <f>HYPERLINK("http://apps.fcc.gov/ecfs/document/view?id=7520944349","Amy Biehl High School E Rate NPRM Comments (2 pages)")</f>
        <v>Amy Biehl High School E Rate NPRM Comments (2 pages)</v>
      </c>
    </row>
    <row r="68" spans="1:8" ht="12.75">
      <c r="A68" t="s">
        <v>6</v>
      </c>
      <c r="B68" t="s">
        <v>1088</v>
      </c>
      <c r="D68" t="s">
        <v>9</v>
      </c>
      <c r="E68" t="s">
        <v>1070</v>
      </c>
      <c r="F68" t="s">
        <v>10</v>
      </c>
      <c r="G68" t="s">
        <v>11</v>
      </c>
      <c r="H68" s="1" t="str">
        <f>HYPERLINK("http://apps.fcc.gov/ecfs/document/view?id=7520944348","  (2 pages)")</f>
        <v>  (2 pages)</v>
      </c>
    </row>
    <row r="69" spans="1:8" ht="12.75">
      <c r="A69" t="s">
        <v>6</v>
      </c>
      <c r="B69" t="s">
        <v>1089</v>
      </c>
      <c r="D69" t="s">
        <v>1070</v>
      </c>
      <c r="E69" t="s">
        <v>1070</v>
      </c>
      <c r="F69" t="s">
        <v>10</v>
      </c>
      <c r="G69" t="s">
        <v>11</v>
      </c>
      <c r="H69" s="1" t="str">
        <f>HYPERLINK("http://apps.fcc.gov/ecfs/document/view?id=7520944352"," (1 page)")</f>
        <v> (1 page)</v>
      </c>
    </row>
    <row r="70" spans="1:8" ht="12.75">
      <c r="A70" t="s">
        <v>6</v>
      </c>
      <c r="B70" t="s">
        <v>7</v>
      </c>
      <c r="D70" t="s">
        <v>9</v>
      </c>
      <c r="E70" t="s">
        <v>9</v>
      </c>
      <c r="F70" t="s">
        <v>10</v>
      </c>
      <c r="G70" t="s">
        <v>11</v>
      </c>
      <c r="H70" s="1" t="str">
        <f>HYPERLINK("http://apps.fcc.gov/ecfs/document/view?id=7520944273","Gaggle e rate support (1 page)")</f>
        <v>Gaggle e rate support (1 page)</v>
      </c>
    </row>
    <row r="71" spans="1:8" ht="12.75">
      <c r="A71" t="s">
        <v>6</v>
      </c>
      <c r="B71" t="s">
        <v>12</v>
      </c>
      <c r="D71" t="s">
        <v>9</v>
      </c>
      <c r="E71" t="s">
        <v>9</v>
      </c>
      <c r="F71" t="s">
        <v>10</v>
      </c>
      <c r="G71" t="s">
        <v>11</v>
      </c>
      <c r="H71" s="1" t="str">
        <f>HYPERLINK("http://apps.fcc.gov/ecfs/document/view?id=7520944267","  (1 page)")</f>
        <v>  (1 page)</v>
      </c>
    </row>
    <row r="72" spans="1:8" ht="12.75">
      <c r="A72" t="s">
        <v>6</v>
      </c>
      <c r="B72" t="s">
        <v>13</v>
      </c>
      <c r="D72" t="s">
        <v>9</v>
      </c>
      <c r="E72" t="s">
        <v>9</v>
      </c>
      <c r="F72" t="s">
        <v>10</v>
      </c>
      <c r="G72" t="s">
        <v>11</v>
      </c>
      <c r="H72" s="1" t="str">
        <f>HYPERLINK("http://apps.fcc.gov/ecfs/document/view?id=7520944263","  (1 page)")</f>
        <v>  (1 page)</v>
      </c>
    </row>
    <row r="73" spans="1:8" ht="12.75">
      <c r="A73" t="s">
        <v>6</v>
      </c>
      <c r="B73" t="s">
        <v>14</v>
      </c>
      <c r="D73" t="s">
        <v>9</v>
      </c>
      <c r="E73" t="s">
        <v>9</v>
      </c>
      <c r="F73" t="s">
        <v>10</v>
      </c>
      <c r="G73" t="s">
        <v>11</v>
      </c>
      <c r="H73" s="1" t="str">
        <f>HYPERLINK("http://apps.fcc.gov/ecfs/document/view?id=7520944260","  (1 page)")</f>
        <v>  (1 page)</v>
      </c>
    </row>
    <row r="74" spans="1:8" ht="12.75">
      <c r="A74" t="s">
        <v>6</v>
      </c>
      <c r="B74" t="s">
        <v>15</v>
      </c>
      <c r="C74" t="s">
        <v>16</v>
      </c>
      <c r="D74" t="s">
        <v>9</v>
      </c>
      <c r="E74" t="s">
        <v>9</v>
      </c>
      <c r="F74" t="s">
        <v>10</v>
      </c>
      <c r="G74" t="s">
        <v>11</v>
      </c>
      <c r="H74" s="1" t="str">
        <f>HYPERLINK("http://apps.fcc.gov/ecfs/document/view?id=7520944261","  (12 pages)")</f>
        <v>  (12 pages)</v>
      </c>
    </row>
    <row r="75" spans="1:8" ht="12.75">
      <c r="A75" t="s">
        <v>6</v>
      </c>
      <c r="B75" t="s">
        <v>17</v>
      </c>
      <c r="D75" t="s">
        <v>9</v>
      </c>
      <c r="E75" t="s">
        <v>9</v>
      </c>
      <c r="F75" t="s">
        <v>10</v>
      </c>
      <c r="G75" t="s">
        <v>11</v>
      </c>
      <c r="H75" s="1" t="str">
        <f>HYPERLINK("http://apps.fcc.gov/ecfs/document/view?id=7520944262","  (1 page)")</f>
        <v>  (1 page)</v>
      </c>
    </row>
    <row r="76" spans="1:8" ht="12.75">
      <c r="A76" t="s">
        <v>6</v>
      </c>
      <c r="B76" t="s">
        <v>18</v>
      </c>
      <c r="D76" t="s">
        <v>9</v>
      </c>
      <c r="E76" t="s">
        <v>9</v>
      </c>
      <c r="F76" t="s">
        <v>10</v>
      </c>
      <c r="G76" t="s">
        <v>11</v>
      </c>
      <c r="H76" s="1" t="str">
        <f>HYPERLINK("http://apps.fcc.gov/ecfs/document/view?id=7520944264","  (1 page)")</f>
        <v>  (1 page)</v>
      </c>
    </row>
    <row r="77" spans="1:8" ht="12.75">
      <c r="A77" t="s">
        <v>6</v>
      </c>
      <c r="B77" t="s">
        <v>19</v>
      </c>
      <c r="D77" t="s">
        <v>9</v>
      </c>
      <c r="E77" t="s">
        <v>9</v>
      </c>
      <c r="F77" t="s">
        <v>10</v>
      </c>
      <c r="G77" t="s">
        <v>11</v>
      </c>
      <c r="H77" s="1" t="str">
        <f>HYPERLINK("http://apps.fcc.gov/ecfs/document/view?id=7520944266","  (1 page)")</f>
        <v>  (1 page)</v>
      </c>
    </row>
    <row r="78" spans="1:8" ht="12.75">
      <c r="A78" t="s">
        <v>6</v>
      </c>
      <c r="B78" t="s">
        <v>20</v>
      </c>
      <c r="D78" t="s">
        <v>21</v>
      </c>
      <c r="E78" t="s">
        <v>9</v>
      </c>
      <c r="F78" t="s">
        <v>10</v>
      </c>
      <c r="G78" t="s">
        <v>11</v>
      </c>
      <c r="H78" s="1" t="str">
        <f>HYPERLINK("http://apps.fcc.gov/ecfs/document/view?id=7520943893","  (3 pages)")</f>
        <v>  (3 pages)</v>
      </c>
    </row>
    <row r="79" spans="1:8" ht="12.75">
      <c r="A79" t="s">
        <v>6</v>
      </c>
      <c r="B79" t="s">
        <v>22</v>
      </c>
      <c r="D79" t="s">
        <v>21</v>
      </c>
      <c r="E79" t="s">
        <v>9</v>
      </c>
      <c r="F79" t="s">
        <v>10</v>
      </c>
      <c r="G79" t="s">
        <v>11</v>
      </c>
      <c r="H79" s="1" t="str">
        <f>HYPERLINK("http://apps.fcc.gov/ecfs/document/view?id=7520944034","  (4 pages)")</f>
        <v>  (4 pages)</v>
      </c>
    </row>
    <row r="80" spans="1:8" ht="12.75">
      <c r="A80" t="s">
        <v>6</v>
      </c>
      <c r="B80" t="s">
        <v>23</v>
      </c>
      <c r="C80" t="s">
        <v>24</v>
      </c>
      <c r="D80" t="s">
        <v>21</v>
      </c>
      <c r="E80" t="s">
        <v>9</v>
      </c>
      <c r="F80" t="s">
        <v>10</v>
      </c>
      <c r="G80" t="s">
        <v>11</v>
      </c>
      <c r="H80" s="1" t="str">
        <f>HYPERLINK("http://apps.fcc.gov/ecfs/document/view?id=7520943980","  (4 pages)")</f>
        <v>  (4 pages)</v>
      </c>
    </row>
    <row r="81" spans="1:8" ht="12.75">
      <c r="A81" t="s">
        <v>6</v>
      </c>
      <c r="B81" t="s">
        <v>25</v>
      </c>
      <c r="D81" t="s">
        <v>21</v>
      </c>
      <c r="E81" t="s">
        <v>9</v>
      </c>
      <c r="F81" t="s">
        <v>10</v>
      </c>
      <c r="G81" t="s">
        <v>11</v>
      </c>
      <c r="H81" s="1" t="str">
        <f>HYPERLINK("http://apps.fcc.gov/ecfs/document/view?id=7520943964","Wisconsin Rapids Public Schools Comment on NPRM changes to Erate Funding (1 page)")</f>
        <v>Wisconsin Rapids Public Schools Comment on NPRM changes to Erate Funding (1 page)</v>
      </c>
    </row>
    <row r="82" spans="1:8" ht="12.75">
      <c r="A82" t="s">
        <v>6</v>
      </c>
      <c r="B82" t="s">
        <v>26</v>
      </c>
      <c r="C82" t="s">
        <v>27</v>
      </c>
      <c r="D82" t="s">
        <v>21</v>
      </c>
      <c r="E82" t="s">
        <v>9</v>
      </c>
      <c r="F82" t="s">
        <v>10</v>
      </c>
      <c r="G82" t="s">
        <v>11</v>
      </c>
      <c r="H82" s="1" t="str">
        <f>HYPERLINK("http://apps.fcc.gov/ecfs/document/view?id=7520943924","  (7 pages)")</f>
        <v>  (7 pages)</v>
      </c>
    </row>
    <row r="83" spans="1:8" ht="12.75">
      <c r="A83" t="s">
        <v>6</v>
      </c>
      <c r="B83" t="s">
        <v>28</v>
      </c>
      <c r="D83" t="s">
        <v>21</v>
      </c>
      <c r="E83" t="s">
        <v>9</v>
      </c>
      <c r="F83" t="s">
        <v>10</v>
      </c>
      <c r="G83" t="s">
        <v>11</v>
      </c>
      <c r="H83" s="1" t="str">
        <f>HYPERLINK("http://apps.fcc.gov/ecfs/document/view?id=7520943870","  (9 pages)")</f>
        <v>  (9 pages)</v>
      </c>
    </row>
    <row r="84" spans="1:8" ht="12.75">
      <c r="A84" t="s">
        <v>6</v>
      </c>
      <c r="B84" t="s">
        <v>29</v>
      </c>
      <c r="D84" t="s">
        <v>21</v>
      </c>
      <c r="E84" t="s">
        <v>9</v>
      </c>
      <c r="F84" t="s">
        <v>10</v>
      </c>
      <c r="G84" t="s">
        <v>11</v>
      </c>
      <c r="H84" s="1" t="str">
        <f>HYPERLINK("http://apps.fcc.gov/ecfs/document/view?id=7520943995","  (164 pages)")</f>
        <v>  (164 pages)</v>
      </c>
    </row>
    <row r="85" spans="1:8" ht="12.75">
      <c r="A85" t="s">
        <v>6</v>
      </c>
      <c r="B85" t="s">
        <v>30</v>
      </c>
      <c r="D85" t="s">
        <v>21</v>
      </c>
      <c r="E85" t="s">
        <v>9</v>
      </c>
      <c r="F85" t="s">
        <v>10</v>
      </c>
      <c r="G85" t="s">
        <v>11</v>
      </c>
      <c r="H85" s="1" t="str">
        <f>HYPERLINK("http://apps.fcc.gov/ecfs/document/view?id=7520944018","Weslaco ISD Comments (13 pages)")</f>
        <v>Weslaco ISD Comments (13 pages)</v>
      </c>
    </row>
    <row r="86" spans="1:8" ht="12.75">
      <c r="A86" t="s">
        <v>6</v>
      </c>
      <c r="B86" t="s">
        <v>31</v>
      </c>
      <c r="C86" t="s">
        <v>32</v>
      </c>
      <c r="D86" t="s">
        <v>21</v>
      </c>
      <c r="E86" t="s">
        <v>9</v>
      </c>
      <c r="F86" t="s">
        <v>10</v>
      </c>
      <c r="G86" t="s">
        <v>11</v>
      </c>
      <c r="H86" s="1" t="str">
        <f>HYPERLINK("http://apps.fcc.gov/ecfs/document/view?id=7520943877","  (2 pages)")</f>
        <v>  (2 pages)</v>
      </c>
    </row>
    <row r="87" spans="1:8" ht="12.75">
      <c r="A87" t="s">
        <v>6</v>
      </c>
      <c r="B87" t="s">
        <v>33</v>
      </c>
      <c r="D87" t="s">
        <v>21</v>
      </c>
      <c r="E87" t="s">
        <v>9</v>
      </c>
      <c r="F87" t="s">
        <v>10</v>
      </c>
      <c r="G87" t="s">
        <v>11</v>
      </c>
      <c r="H87" s="1" t="str">
        <f>HYPERLINK("http://apps.fcc.gov/ecfs/document/view?id=7520944061","Comment letter (2 pages)")</f>
        <v>Comment letter (2 pages)</v>
      </c>
    </row>
    <row r="88" spans="1:8" ht="12.75">
      <c r="A88" t="s">
        <v>6</v>
      </c>
      <c r="B88" t="s">
        <v>34</v>
      </c>
      <c r="D88" t="s">
        <v>9</v>
      </c>
      <c r="E88" t="s">
        <v>9</v>
      </c>
      <c r="F88" t="s">
        <v>10</v>
      </c>
      <c r="G88" t="s">
        <v>11</v>
      </c>
      <c r="H88" s="1" t="str">
        <f>HYPERLINK("http://apps.fcc.gov/ecfs/document/view?id=7520944232","  (1 page)")</f>
        <v>  (1 page)</v>
      </c>
    </row>
    <row r="89" spans="1:8" ht="12.75">
      <c r="A89" t="s">
        <v>6</v>
      </c>
      <c r="B89" t="s">
        <v>35</v>
      </c>
      <c r="D89" t="s">
        <v>21</v>
      </c>
      <c r="E89" t="s">
        <v>9</v>
      </c>
      <c r="F89" t="s">
        <v>10</v>
      </c>
      <c r="G89" t="s">
        <v>11</v>
      </c>
      <c r="H89" s="1" t="str">
        <f>HYPERLINK("http://apps.fcc.gov/ecfs/document/view?id=7520944041","  (40 pages)")</f>
        <v>  (40 pages)</v>
      </c>
    </row>
    <row r="90" spans="1:8" ht="12.75">
      <c r="A90" t="s">
        <v>6</v>
      </c>
      <c r="B90" t="s">
        <v>36</v>
      </c>
      <c r="D90" t="s">
        <v>21</v>
      </c>
      <c r="E90" t="s">
        <v>9</v>
      </c>
      <c r="F90" t="s">
        <v>10</v>
      </c>
      <c r="G90" t="s">
        <v>11</v>
      </c>
      <c r="H90" s="1" t="str">
        <f>HYPERLINK("http://apps.fcc.gov/ecfs/document/view?id=7520944004","  (5 pages)")</f>
        <v>  (5 pages)</v>
      </c>
    </row>
    <row r="91" spans="1:8" ht="12.75">
      <c r="A91" t="s">
        <v>6</v>
      </c>
      <c r="B91" t="s">
        <v>37</v>
      </c>
      <c r="D91" t="s">
        <v>21</v>
      </c>
      <c r="E91" t="s">
        <v>9</v>
      </c>
      <c r="F91" t="s">
        <v>10</v>
      </c>
      <c r="G91" t="s">
        <v>11</v>
      </c>
      <c r="H91" s="1" t="str">
        <f>HYPERLINK("http://apps.fcc.gov/ecfs/document/view?id=7520944009","Initial Comments (3 pages)")</f>
        <v>Initial Comments (3 pages)</v>
      </c>
    </row>
    <row r="92" spans="1:8" ht="12.75">
      <c r="A92" t="s">
        <v>6</v>
      </c>
      <c r="B92" t="s">
        <v>38</v>
      </c>
      <c r="D92" t="s">
        <v>9</v>
      </c>
      <c r="E92" t="s">
        <v>9</v>
      </c>
      <c r="F92" t="s">
        <v>10</v>
      </c>
      <c r="G92" t="s">
        <v>11</v>
      </c>
      <c r="H92" s="1" t="str">
        <f>HYPERLINK("http://apps.fcc.gov/ecfs/document/view?id=7520944158","  (2 pages)")</f>
        <v>  (2 pages)</v>
      </c>
    </row>
    <row r="93" spans="1:8" ht="12.75">
      <c r="A93" t="s">
        <v>6</v>
      </c>
      <c r="B93" t="s">
        <v>39</v>
      </c>
      <c r="C93" t="s">
        <v>40</v>
      </c>
      <c r="D93" t="s">
        <v>21</v>
      </c>
      <c r="E93" t="s">
        <v>9</v>
      </c>
      <c r="F93" t="s">
        <v>10</v>
      </c>
      <c r="G93" t="s">
        <v>11</v>
      </c>
      <c r="H93" s="1" t="str">
        <f>HYPERLINK("http://apps.fcc.gov/ecfs/document/view?id=7520943947","  (22 pages)")</f>
        <v>  (22 pages)</v>
      </c>
    </row>
    <row r="94" spans="1:8" ht="12.75">
      <c r="A94" t="s">
        <v>6</v>
      </c>
      <c r="B94" t="s">
        <v>41</v>
      </c>
      <c r="D94" t="s">
        <v>21</v>
      </c>
      <c r="E94" t="s">
        <v>9</v>
      </c>
      <c r="F94" t="s">
        <v>10</v>
      </c>
      <c r="G94" t="s">
        <v>11</v>
      </c>
      <c r="H94" s="1" t="str">
        <f>HYPERLINK("http://apps.fcc.gov/ecfs/document/view?id=7520944120","  (2 pages)")</f>
        <v>  (2 pages)</v>
      </c>
    </row>
    <row r="95" spans="1:8" ht="12.75">
      <c r="A95" t="s">
        <v>6</v>
      </c>
      <c r="B95" t="s">
        <v>42</v>
      </c>
      <c r="D95" t="s">
        <v>9</v>
      </c>
      <c r="E95" t="s">
        <v>9</v>
      </c>
      <c r="F95" t="s">
        <v>10</v>
      </c>
      <c r="G95" t="s">
        <v>11</v>
      </c>
      <c r="H95" s="1" t="str">
        <f>HYPERLINK("http://apps.fcc.gov/ecfs/document/view?id=7520944240","  (1 page)")</f>
        <v>  (1 page)</v>
      </c>
    </row>
    <row r="96" spans="1:9" ht="12.75">
      <c r="A96" t="s">
        <v>6</v>
      </c>
      <c r="B96" t="s">
        <v>43</v>
      </c>
      <c r="D96" t="s">
        <v>21</v>
      </c>
      <c r="E96" t="s">
        <v>9</v>
      </c>
      <c r="F96" t="s">
        <v>10</v>
      </c>
      <c r="G96" t="s">
        <v>11</v>
      </c>
      <c r="H96" s="1" t="str">
        <f>HYPERLINK("http://apps.fcc.gov/ecfs/document/view?id=7520943934","  (2 pages)")</f>
        <v>  (2 pages)</v>
      </c>
      <c r="I96" s="1" t="str">
        <f>HYPERLINK("http://apps.fcc.gov/ecfs/document/view?id=7520943939","  (2 pages)")</f>
        <v>  (2 pages)</v>
      </c>
    </row>
    <row r="97" spans="1:8" ht="12.75">
      <c r="A97" t="s">
        <v>6</v>
      </c>
      <c r="B97" t="s">
        <v>44</v>
      </c>
      <c r="D97" t="s">
        <v>21</v>
      </c>
      <c r="E97" t="s">
        <v>9</v>
      </c>
      <c r="F97" t="s">
        <v>10</v>
      </c>
      <c r="G97" t="s">
        <v>11</v>
      </c>
      <c r="H97" s="1" t="str">
        <f>HYPERLINK("http://apps.fcc.gov/ecfs/document/view?id=7520943998","  (4 pages)")</f>
        <v>  (4 pages)</v>
      </c>
    </row>
    <row r="98" spans="1:8" ht="12.75">
      <c r="A98" t="s">
        <v>6</v>
      </c>
      <c r="B98" t="s">
        <v>45</v>
      </c>
      <c r="D98" t="s">
        <v>21</v>
      </c>
      <c r="E98" t="s">
        <v>9</v>
      </c>
      <c r="F98" t="s">
        <v>10</v>
      </c>
      <c r="G98" t="s">
        <v>11</v>
      </c>
      <c r="H98" s="1" t="str">
        <f>HYPERLINK("http://apps.fcc.gov/ecfs/document/view?id=7520944017","  (3 pages)")</f>
        <v>  (3 pages)</v>
      </c>
    </row>
    <row r="99" spans="1:8" ht="12.75">
      <c r="A99" t="s">
        <v>6</v>
      </c>
      <c r="B99" t="s">
        <v>46</v>
      </c>
      <c r="D99" t="s">
        <v>21</v>
      </c>
      <c r="E99" t="s">
        <v>9</v>
      </c>
      <c r="F99" t="s">
        <v>10</v>
      </c>
      <c r="G99" t="s">
        <v>11</v>
      </c>
      <c r="H99" s="1" t="str">
        <f>HYPERLINK("http://apps.fcc.gov/ecfs/document/view?id=7520943915","  (10 pages)")</f>
        <v>  (10 pages)</v>
      </c>
    </row>
    <row r="100" spans="1:8" ht="12.75">
      <c r="A100" t="s">
        <v>6</v>
      </c>
      <c r="B100" t="s">
        <v>47</v>
      </c>
      <c r="D100" t="s">
        <v>21</v>
      </c>
      <c r="E100" t="s">
        <v>9</v>
      </c>
      <c r="F100" t="s">
        <v>10</v>
      </c>
      <c r="G100" t="s">
        <v>11</v>
      </c>
      <c r="H100" s="1" t="str">
        <f>HYPERLINK("http://apps.fcc.gov/ecfs/document/view?id=7520944045","  (1 page)")</f>
        <v>  (1 page)</v>
      </c>
    </row>
    <row r="101" spans="1:8" ht="12.75">
      <c r="A101" t="s">
        <v>6</v>
      </c>
      <c r="B101" t="s">
        <v>48</v>
      </c>
      <c r="D101" t="s">
        <v>21</v>
      </c>
      <c r="E101" t="s">
        <v>9</v>
      </c>
      <c r="F101" t="s">
        <v>10</v>
      </c>
      <c r="G101" t="s">
        <v>11</v>
      </c>
      <c r="H101" s="1" t="str">
        <f>HYPERLINK("http://apps.fcc.gov/ecfs/document/view?id=7520943935","  (3 pages)")</f>
        <v>  (3 pages)</v>
      </c>
    </row>
    <row r="102" spans="1:8" ht="12.75">
      <c r="A102" t="s">
        <v>6</v>
      </c>
      <c r="B102" t="s">
        <v>49</v>
      </c>
      <c r="D102" t="s">
        <v>9</v>
      </c>
      <c r="E102" t="s">
        <v>9</v>
      </c>
      <c r="F102" t="s">
        <v>10</v>
      </c>
      <c r="G102" t="s">
        <v>11</v>
      </c>
      <c r="H102" s="1" t="str">
        <f>HYPERLINK("http://apps.fcc.gov/ecfs/document/view?id=7520944246","  (1 page)")</f>
        <v>  (1 page)</v>
      </c>
    </row>
    <row r="103" spans="1:8" ht="12.75">
      <c r="A103" t="s">
        <v>6</v>
      </c>
      <c r="B103" t="s">
        <v>50</v>
      </c>
      <c r="D103" t="s">
        <v>21</v>
      </c>
      <c r="E103" t="s">
        <v>9</v>
      </c>
      <c r="F103" t="s">
        <v>10</v>
      </c>
      <c r="G103" t="s">
        <v>11</v>
      </c>
      <c r="H103" s="1" t="str">
        <f>HYPERLINK("http://apps.fcc.gov/ecfs/document/view?id=7520944125","  (2 pages)")</f>
        <v>  (2 pages)</v>
      </c>
    </row>
    <row r="104" spans="1:8" ht="12.75">
      <c r="A104" t="s">
        <v>6</v>
      </c>
      <c r="B104" t="s">
        <v>51</v>
      </c>
      <c r="D104" t="s">
        <v>9</v>
      </c>
      <c r="E104" t="s">
        <v>9</v>
      </c>
      <c r="F104" t="s">
        <v>10</v>
      </c>
      <c r="G104" t="s">
        <v>11</v>
      </c>
      <c r="H104" s="1" t="str">
        <f>HYPERLINK("http://apps.fcc.gov/ecfs/document/view?id=7520944244","  (1 page)")</f>
        <v>  (1 page)</v>
      </c>
    </row>
    <row r="105" spans="1:8" ht="12.75">
      <c r="A105" t="s">
        <v>6</v>
      </c>
      <c r="B105" t="s">
        <v>52</v>
      </c>
      <c r="C105" t="s">
        <v>53</v>
      </c>
      <c r="D105" t="s">
        <v>21</v>
      </c>
      <c r="E105" t="s">
        <v>9</v>
      </c>
      <c r="F105" t="s">
        <v>10</v>
      </c>
      <c r="G105" t="s">
        <v>11</v>
      </c>
      <c r="H105" s="1" t="str">
        <f>HYPERLINK("http://apps.fcc.gov/ecfs/document/view?id=7520943989","Comments of Hawaii (21 pages)")</f>
        <v>Comments of Hawaii (21 pages)</v>
      </c>
    </row>
    <row r="106" spans="1:8" ht="12.75">
      <c r="A106" t="s">
        <v>6</v>
      </c>
      <c r="B106" t="s">
        <v>54</v>
      </c>
      <c r="D106" t="s">
        <v>21</v>
      </c>
      <c r="E106" t="s">
        <v>9</v>
      </c>
      <c r="F106" t="s">
        <v>10</v>
      </c>
      <c r="G106" t="s">
        <v>11</v>
      </c>
      <c r="H106" s="1" t="str">
        <f>HYPERLINK("http://apps.fcc.gov/ecfs/document/view?id=7520944019","  (32 pages)")</f>
        <v>  (32 pages)</v>
      </c>
    </row>
    <row r="107" spans="1:8" ht="12.75">
      <c r="A107" t="s">
        <v>6</v>
      </c>
      <c r="B107" t="s">
        <v>55</v>
      </c>
      <c r="D107" t="s">
        <v>21</v>
      </c>
      <c r="E107" t="s">
        <v>9</v>
      </c>
      <c r="F107" t="s">
        <v>10</v>
      </c>
      <c r="G107" t="s">
        <v>11</v>
      </c>
      <c r="H107" s="1" t="str">
        <f>HYPERLINK("http://apps.fcc.gov/ecfs/document/view?id=7520944002","  (21 pages)")</f>
        <v>  (21 pages)</v>
      </c>
    </row>
    <row r="108" spans="1:9" ht="12.75">
      <c r="A108" t="s">
        <v>6</v>
      </c>
      <c r="B108" t="s">
        <v>56</v>
      </c>
      <c r="D108" t="s">
        <v>21</v>
      </c>
      <c r="E108" t="s">
        <v>9</v>
      </c>
      <c r="F108" t="s">
        <v>10</v>
      </c>
      <c r="G108" t="s">
        <v>11</v>
      </c>
      <c r="H108" s="1" t="str">
        <f>HYPERLINK("http://apps.fcc.gov/ecfs/document/view?id=7520944050","SETDA Comments on E rate Modernization (24 pages)")</f>
        <v>SETDA Comments on E rate Modernization (24 pages)</v>
      </c>
      <c r="I108" s="1" t="str">
        <f>HYPERLINK("http://apps.fcc.gov/ecfs/document/view?id=7520944051","The Broadband Imperative Recommendations to Address K 12 Education Infrastructu (37 pages)")</f>
        <v>The Broadband Imperative Recommendations to Address K 12 Education Infrastructu (37 pages)</v>
      </c>
    </row>
    <row r="109" spans="1:8" ht="12.75">
      <c r="A109" t="s">
        <v>6</v>
      </c>
      <c r="B109" t="s">
        <v>57</v>
      </c>
      <c r="C109" t="s">
        <v>58</v>
      </c>
      <c r="D109" t="s">
        <v>21</v>
      </c>
      <c r="E109" t="s">
        <v>9</v>
      </c>
      <c r="F109" t="s">
        <v>10</v>
      </c>
      <c r="G109" t="s">
        <v>11</v>
      </c>
      <c r="H109" s="1" t="str">
        <f>HYPERLINK("http://apps.fcc.gov/ecfs/document/view?id=7520944060","  (54 pages)")</f>
        <v>  (54 pages)</v>
      </c>
    </row>
    <row r="110" spans="1:8" ht="12.75">
      <c r="A110" t="s">
        <v>6</v>
      </c>
      <c r="B110" t="s">
        <v>59</v>
      </c>
      <c r="D110" t="s">
        <v>21</v>
      </c>
      <c r="E110" t="s">
        <v>9</v>
      </c>
      <c r="F110" t="s">
        <v>10</v>
      </c>
      <c r="G110" t="s">
        <v>11</v>
      </c>
      <c r="H110" s="1" t="str">
        <f>HYPERLINK("http://apps.fcc.gov/ecfs/document/view?id=7520944137","  (5 pages)")</f>
        <v>  (5 pages)</v>
      </c>
    </row>
    <row r="111" spans="1:8" ht="12.75">
      <c r="A111" t="s">
        <v>6</v>
      </c>
      <c r="B111" t="s">
        <v>60</v>
      </c>
      <c r="D111" t="s">
        <v>21</v>
      </c>
      <c r="E111" t="s">
        <v>9</v>
      </c>
      <c r="F111" t="s">
        <v>10</v>
      </c>
      <c r="G111" t="s">
        <v>11</v>
      </c>
      <c r="H111" s="1" t="str">
        <f>HYPERLINK("http://apps.fcc.gov/ecfs/document/view?id=7520943985","  (22 pages)")</f>
        <v>  (22 pages)</v>
      </c>
    </row>
    <row r="112" spans="1:8" ht="12.75">
      <c r="A112" t="s">
        <v>6</v>
      </c>
      <c r="B112" t="s">
        <v>61</v>
      </c>
      <c r="D112" t="s">
        <v>21</v>
      </c>
      <c r="E112" t="s">
        <v>9</v>
      </c>
      <c r="F112" t="s">
        <v>10</v>
      </c>
      <c r="G112" t="s">
        <v>11</v>
      </c>
      <c r="H112" s="1" t="str">
        <f>HYPERLINK("http://apps.fcc.gov/ecfs/document/view?id=7520944031","  (25 pages)")</f>
        <v>  (25 pages)</v>
      </c>
    </row>
    <row r="113" spans="1:8" ht="12.75">
      <c r="A113" t="s">
        <v>6</v>
      </c>
      <c r="B113" t="s">
        <v>62</v>
      </c>
      <c r="C113" t="s">
        <v>63</v>
      </c>
      <c r="D113" t="s">
        <v>21</v>
      </c>
      <c r="E113" t="s">
        <v>9</v>
      </c>
      <c r="F113" t="s">
        <v>10</v>
      </c>
      <c r="G113" t="s">
        <v>11</v>
      </c>
      <c r="H113" s="1" t="str">
        <f>HYPERLINK("http://apps.fcc.gov/ecfs/document/view?id=7520943892","  (17 pages)")</f>
        <v>  (17 pages)</v>
      </c>
    </row>
    <row r="114" spans="1:8" ht="12.75">
      <c r="A114" t="s">
        <v>6</v>
      </c>
      <c r="B114" t="s">
        <v>64</v>
      </c>
      <c r="D114" t="s">
        <v>21</v>
      </c>
      <c r="E114" t="s">
        <v>9</v>
      </c>
      <c r="F114" t="s">
        <v>10</v>
      </c>
      <c r="G114" t="s">
        <v>11</v>
      </c>
      <c r="H114" s="1" t="str">
        <f>HYPERLINK("http://apps.fcc.gov/ecfs/document/view?id=7520943963","Comment on Proceeding No 13 184 (2 pages)")</f>
        <v>Comment on Proceeding No 13 184 (2 pages)</v>
      </c>
    </row>
    <row r="115" spans="1:8" ht="12.75">
      <c r="A115" t="s">
        <v>6</v>
      </c>
      <c r="B115" t="s">
        <v>65</v>
      </c>
      <c r="D115" t="s">
        <v>9</v>
      </c>
      <c r="E115" t="s">
        <v>9</v>
      </c>
      <c r="F115" t="s">
        <v>10</v>
      </c>
      <c r="G115" t="s">
        <v>11</v>
      </c>
      <c r="H115" s="1" t="str">
        <f>HYPERLINK("http://apps.fcc.gov/ecfs/document/view?id=7520944215","  (1 page)")</f>
        <v>  (1 page)</v>
      </c>
    </row>
    <row r="116" spans="1:8" ht="12.75">
      <c r="A116" t="s">
        <v>6</v>
      </c>
      <c r="B116" t="s">
        <v>66</v>
      </c>
      <c r="D116" t="s">
        <v>21</v>
      </c>
      <c r="E116" t="s">
        <v>9</v>
      </c>
      <c r="F116" t="s">
        <v>10</v>
      </c>
      <c r="G116" t="s">
        <v>11</v>
      </c>
      <c r="H116" s="1" t="str">
        <f>HYPERLINK("http://apps.fcc.gov/ecfs/document/view?id=7520944106","  (1 page)")</f>
        <v>  (1 page)</v>
      </c>
    </row>
    <row r="117" spans="1:8" ht="12.75">
      <c r="A117" t="s">
        <v>6</v>
      </c>
      <c r="B117" t="s">
        <v>67</v>
      </c>
      <c r="C117" t="s">
        <v>68</v>
      </c>
      <c r="D117" t="s">
        <v>21</v>
      </c>
      <c r="E117" t="s">
        <v>9</v>
      </c>
      <c r="F117" t="s">
        <v>10</v>
      </c>
      <c r="G117" t="s">
        <v>11</v>
      </c>
      <c r="H117" s="1" t="str">
        <f>HYPERLINK("http://apps.fcc.gov/ecfs/document/view?id=7520944148","  (30 pages)")</f>
        <v>  (30 pages)</v>
      </c>
    </row>
    <row r="118" spans="1:8" ht="12.75">
      <c r="A118" t="s">
        <v>6</v>
      </c>
      <c r="B118" t="s">
        <v>69</v>
      </c>
      <c r="D118" t="s">
        <v>21</v>
      </c>
      <c r="E118" t="s">
        <v>9</v>
      </c>
      <c r="F118" t="s">
        <v>10</v>
      </c>
      <c r="G118" t="s">
        <v>11</v>
      </c>
      <c r="H118" s="1" t="str">
        <f>HYPERLINK("http://apps.fcc.gov/ecfs/document/view?id=7520944146","  (15 pages)")</f>
        <v>  (15 pages)</v>
      </c>
    </row>
    <row r="119" spans="1:8" ht="12.75">
      <c r="A119" t="s">
        <v>6</v>
      </c>
      <c r="B119" t="s">
        <v>70</v>
      </c>
      <c r="D119" t="s">
        <v>21</v>
      </c>
      <c r="E119" t="s">
        <v>9</v>
      </c>
      <c r="F119" t="s">
        <v>10</v>
      </c>
      <c r="G119" t="s">
        <v>11</v>
      </c>
      <c r="H119" s="1" t="str">
        <f>HYPERLINK("http://apps.fcc.gov/ecfs/document/view?id=7520944027","  (6 pages)")</f>
        <v>  (6 pages)</v>
      </c>
    </row>
    <row r="120" spans="1:8" ht="12.75">
      <c r="A120" t="s">
        <v>6</v>
      </c>
      <c r="B120" t="s">
        <v>71</v>
      </c>
      <c r="D120" t="s">
        <v>21</v>
      </c>
      <c r="E120" t="s">
        <v>9</v>
      </c>
      <c r="F120" t="s">
        <v>10</v>
      </c>
      <c r="G120" t="s">
        <v>11</v>
      </c>
      <c r="H120" s="1" t="str">
        <f>HYPERLINK("http://apps.fcc.gov/ecfs/document/view?id=7520944084","NPRM from the San Mateo County Office of Education Superintendent Anne Campbell (2 pages)")</f>
        <v>NPRM from the San Mateo County Office of Education Superintendent Anne Campbell (2 pages)</v>
      </c>
    </row>
    <row r="121" spans="1:8" ht="12.75">
      <c r="A121" t="s">
        <v>6</v>
      </c>
      <c r="B121" t="s">
        <v>72</v>
      </c>
      <c r="D121" t="s">
        <v>21</v>
      </c>
      <c r="E121" t="s">
        <v>9</v>
      </c>
      <c r="F121" t="s">
        <v>10</v>
      </c>
      <c r="G121" t="s">
        <v>11</v>
      </c>
      <c r="H121" s="1" t="str">
        <f>HYPERLINK("http://apps.fcc.gov/ecfs/document/view?id=7520944032","  (3 pages)")</f>
        <v>  (3 pages)</v>
      </c>
    </row>
    <row r="122" spans="1:8" ht="12.75">
      <c r="A122" t="s">
        <v>6</v>
      </c>
      <c r="B122" t="s">
        <v>73</v>
      </c>
      <c r="C122" t="s">
        <v>74</v>
      </c>
      <c r="D122" t="s">
        <v>21</v>
      </c>
      <c r="E122" t="s">
        <v>9</v>
      </c>
      <c r="F122" t="s">
        <v>10</v>
      </c>
      <c r="G122" t="s">
        <v>11</v>
      </c>
      <c r="H122" s="1" t="str">
        <f>HYPERLINK("http://apps.fcc.gov/ecfs/document/view?id=7520943862","  (14 pages)")</f>
        <v>  (14 pages)</v>
      </c>
    </row>
    <row r="123" spans="1:8" ht="12.75">
      <c r="A123" t="s">
        <v>6</v>
      </c>
      <c r="B123" t="s">
        <v>75</v>
      </c>
      <c r="D123" t="s">
        <v>21</v>
      </c>
      <c r="E123" t="s">
        <v>9</v>
      </c>
      <c r="F123" t="s">
        <v>10</v>
      </c>
      <c r="G123" t="s">
        <v>11</v>
      </c>
      <c r="H123" s="1" t="str">
        <f>HYPERLINK("http://apps.fcc.gov/ecfs/document/view?id=7520944111","  (14 pages)")</f>
        <v>  (14 pages)</v>
      </c>
    </row>
    <row r="124" spans="1:8" ht="12.75">
      <c r="A124" t="s">
        <v>6</v>
      </c>
      <c r="B124" t="s">
        <v>76</v>
      </c>
      <c r="D124" t="s">
        <v>9</v>
      </c>
      <c r="E124" t="s">
        <v>9</v>
      </c>
      <c r="F124" t="s">
        <v>10</v>
      </c>
      <c r="G124" t="s">
        <v>11</v>
      </c>
      <c r="H124" s="1" t="str">
        <f>HYPERLINK("http://apps.fcc.gov/ecfs/document/view?id=7520944213","  (1 page)")</f>
        <v>  (1 page)</v>
      </c>
    </row>
    <row r="125" spans="1:8" ht="12.75">
      <c r="A125" t="s">
        <v>6</v>
      </c>
      <c r="B125" t="s">
        <v>77</v>
      </c>
      <c r="D125" t="s">
        <v>21</v>
      </c>
      <c r="E125" t="s">
        <v>9</v>
      </c>
      <c r="F125" t="s">
        <v>10</v>
      </c>
      <c r="G125" t="s">
        <v>11</v>
      </c>
      <c r="H125" s="1" t="str">
        <f>HYPERLINK("http://apps.fcc.gov/ecfs/document/view?id=7520943885","  (13 pages)")</f>
        <v>  (13 pages)</v>
      </c>
    </row>
    <row r="126" spans="1:8" ht="12.75">
      <c r="A126" t="s">
        <v>6</v>
      </c>
      <c r="B126" t="s">
        <v>78</v>
      </c>
      <c r="D126" t="s">
        <v>21</v>
      </c>
      <c r="E126" t="s">
        <v>9</v>
      </c>
      <c r="F126" t="s">
        <v>10</v>
      </c>
      <c r="G126" t="s">
        <v>11</v>
      </c>
      <c r="H126" s="1" t="str">
        <f>HYPERLINK("http://apps.fcc.gov/ecfs/document/view?id=7520944122","  (2 pages)")</f>
        <v>  (2 pages)</v>
      </c>
    </row>
    <row r="127" spans="1:8" ht="12.75">
      <c r="A127" t="s">
        <v>6</v>
      </c>
      <c r="B127" t="s">
        <v>79</v>
      </c>
      <c r="D127" t="s">
        <v>9</v>
      </c>
      <c r="E127" t="s">
        <v>9</v>
      </c>
      <c r="F127" t="s">
        <v>10</v>
      </c>
      <c r="G127" t="s">
        <v>11</v>
      </c>
      <c r="H127" s="1" t="str">
        <f>HYPERLINK("http://apps.fcc.gov/ecfs/document/view?id=7520944218","  (1 page)")</f>
        <v>  (1 page)</v>
      </c>
    </row>
    <row r="128" spans="1:8" ht="12.75">
      <c r="A128" t="s">
        <v>6</v>
      </c>
      <c r="B128" t="s">
        <v>80</v>
      </c>
      <c r="D128" t="s">
        <v>21</v>
      </c>
      <c r="E128" t="s">
        <v>9</v>
      </c>
      <c r="F128" t="s">
        <v>10</v>
      </c>
      <c r="G128" t="s">
        <v>11</v>
      </c>
      <c r="H128" s="1" t="str">
        <f>HYPERLINK("http://apps.fcc.gov/ecfs/document/view?id=7520944102","  (1 page)")</f>
        <v>  (1 page)</v>
      </c>
    </row>
    <row r="129" spans="1:8" ht="12.75">
      <c r="A129" t="s">
        <v>6</v>
      </c>
      <c r="B129" t="s">
        <v>81</v>
      </c>
      <c r="D129" t="s">
        <v>21</v>
      </c>
      <c r="E129" t="s">
        <v>9</v>
      </c>
      <c r="F129" t="s">
        <v>10</v>
      </c>
      <c r="G129" t="s">
        <v>11</v>
      </c>
      <c r="H129" s="1" t="str">
        <f>HYPERLINK("http://apps.fcc.gov/ecfs/document/view?id=7520944092","Comanche TX (2 pages)")</f>
        <v>Comanche TX (2 pages)</v>
      </c>
    </row>
    <row r="130" spans="1:8" ht="12.75">
      <c r="A130" t="s">
        <v>6</v>
      </c>
      <c r="B130" t="s">
        <v>82</v>
      </c>
      <c r="D130" t="s">
        <v>21</v>
      </c>
      <c r="E130" t="s">
        <v>9</v>
      </c>
      <c r="F130" t="s">
        <v>10</v>
      </c>
      <c r="G130" t="s">
        <v>11</v>
      </c>
      <c r="H130" s="1" t="str">
        <f>HYPERLINK("http://apps.fcc.gov/ecfs/document/view?id=7520944123","  (1 page)")</f>
        <v>  (1 page)</v>
      </c>
    </row>
    <row r="131" spans="1:8" ht="12.75">
      <c r="A131" t="s">
        <v>6</v>
      </c>
      <c r="B131" t="s">
        <v>83</v>
      </c>
      <c r="D131" t="s">
        <v>21</v>
      </c>
      <c r="E131" t="s">
        <v>9</v>
      </c>
      <c r="F131" t="s">
        <v>10</v>
      </c>
      <c r="G131" t="s">
        <v>11</v>
      </c>
      <c r="H131" s="1" t="str">
        <f>HYPERLINK("http://apps.fcc.gov/ecfs/document/view?id=7520943992"," (1 page)")</f>
        <v> (1 page)</v>
      </c>
    </row>
    <row r="132" spans="1:8" ht="12.75">
      <c r="A132" t="s">
        <v>6</v>
      </c>
      <c r="B132" t="s">
        <v>84</v>
      </c>
      <c r="D132" t="s">
        <v>21</v>
      </c>
      <c r="E132" t="s">
        <v>9</v>
      </c>
      <c r="F132" t="s">
        <v>10</v>
      </c>
      <c r="G132" t="s">
        <v>11</v>
      </c>
      <c r="H132" s="1" t="str">
        <f>HYPERLINK("http://apps.fcc.gov/ecfs/document/view?id=7520944129","  (2 pages)")</f>
        <v>  (2 pages)</v>
      </c>
    </row>
    <row r="133" spans="1:8" ht="12.75">
      <c r="A133" t="s">
        <v>6</v>
      </c>
      <c r="B133" t="s">
        <v>85</v>
      </c>
      <c r="D133" t="s">
        <v>9</v>
      </c>
      <c r="E133" t="s">
        <v>9</v>
      </c>
      <c r="F133" t="s">
        <v>10</v>
      </c>
      <c r="G133" t="s">
        <v>11</v>
      </c>
      <c r="H133" s="1" t="str">
        <f>HYPERLINK("http://apps.fcc.gov/ecfs/document/view?id=7520944227","  (1 page)")</f>
        <v>  (1 page)</v>
      </c>
    </row>
    <row r="134" spans="1:8" ht="12.75">
      <c r="A134" t="s">
        <v>6</v>
      </c>
      <c r="B134" t="s">
        <v>86</v>
      </c>
      <c r="D134" t="s">
        <v>21</v>
      </c>
      <c r="E134" t="s">
        <v>9</v>
      </c>
      <c r="F134" t="s">
        <v>10</v>
      </c>
      <c r="G134" t="s">
        <v>11</v>
      </c>
      <c r="H134" s="1" t="str">
        <f>HYPERLINK("http://apps.fcc.gov/ecfs/document/view?id=7520944062","  (19 pages)")</f>
        <v>  (19 pages)</v>
      </c>
    </row>
    <row r="135" spans="1:8" ht="12.75">
      <c r="A135" t="s">
        <v>6</v>
      </c>
      <c r="B135" t="s">
        <v>87</v>
      </c>
      <c r="D135" t="s">
        <v>21</v>
      </c>
      <c r="E135" t="s">
        <v>9</v>
      </c>
      <c r="F135" t="s">
        <v>10</v>
      </c>
      <c r="G135" t="s">
        <v>11</v>
      </c>
      <c r="H135" s="1" t="str">
        <f>HYPERLINK("http://apps.fcc.gov/ecfs/document/view?id=7520943983","  (20 pages)")</f>
        <v>  (20 pages)</v>
      </c>
    </row>
    <row r="136" spans="1:8" ht="12.75">
      <c r="A136" t="s">
        <v>6</v>
      </c>
      <c r="B136" t="s">
        <v>88</v>
      </c>
      <c r="D136" t="s">
        <v>21</v>
      </c>
      <c r="E136" t="s">
        <v>9</v>
      </c>
      <c r="F136" t="s">
        <v>10</v>
      </c>
      <c r="G136" t="s">
        <v>11</v>
      </c>
      <c r="H136" s="1" t="str">
        <f>HYPERLINK("http://apps.fcc.gov/ecfs/document/view?id=7520944099","  (3 pages)")</f>
        <v>  (3 pages)</v>
      </c>
    </row>
    <row r="137" spans="1:8" ht="12.75">
      <c r="A137" t="s">
        <v>6</v>
      </c>
      <c r="B137" t="s">
        <v>89</v>
      </c>
      <c r="D137" t="s">
        <v>21</v>
      </c>
      <c r="E137" t="s">
        <v>9</v>
      </c>
      <c r="F137" t="s">
        <v>10</v>
      </c>
      <c r="G137" t="s">
        <v>11</v>
      </c>
      <c r="H137" s="1" t="str">
        <f>HYPERLINK("http://apps.fcc.gov/ecfs/document/view?id=7520943916","Project Tomorrow Comments on E Rate Proceeding (7 pages)")</f>
        <v>Project Tomorrow Comments on E Rate Proceeding (7 pages)</v>
      </c>
    </row>
    <row r="138" spans="1:8" ht="12.75">
      <c r="A138" t="s">
        <v>6</v>
      </c>
      <c r="B138" t="s">
        <v>90</v>
      </c>
      <c r="D138" t="s">
        <v>9</v>
      </c>
      <c r="E138" t="s">
        <v>9</v>
      </c>
      <c r="F138" t="s">
        <v>10</v>
      </c>
      <c r="G138" t="s">
        <v>11</v>
      </c>
      <c r="H138" s="1" t="str">
        <f>HYPERLINK("http://apps.fcc.gov/ecfs/document/view?id=7520944174","  (2 pages)")</f>
        <v>  (2 pages)</v>
      </c>
    </row>
    <row r="139" spans="1:8" ht="12.75">
      <c r="A139" t="s">
        <v>6</v>
      </c>
      <c r="B139" t="s">
        <v>91</v>
      </c>
      <c r="D139" t="s">
        <v>21</v>
      </c>
      <c r="E139" t="s">
        <v>9</v>
      </c>
      <c r="F139" t="s">
        <v>10</v>
      </c>
      <c r="G139" t="s">
        <v>11</v>
      </c>
      <c r="H139" s="1" t="str">
        <f>HYPERLINK("http://apps.fcc.gov/ecfs/document/view?id=7520944083","  (27 pages)")</f>
        <v>  (27 pages)</v>
      </c>
    </row>
    <row r="140" spans="1:8" ht="12.75">
      <c r="A140" t="s">
        <v>6</v>
      </c>
      <c r="B140" t="s">
        <v>92</v>
      </c>
      <c r="D140" t="s">
        <v>21</v>
      </c>
      <c r="E140" t="s">
        <v>9</v>
      </c>
      <c r="F140" t="s">
        <v>10</v>
      </c>
      <c r="G140" t="s">
        <v>11</v>
      </c>
      <c r="H140" s="1" t="str">
        <f>HYPERLINK("http://apps.fcc.gov/ecfs/document/view?id=7520943984","  (4 pages)")</f>
        <v>  (4 pages)</v>
      </c>
    </row>
    <row r="141" spans="1:8" ht="12.75">
      <c r="A141" t="s">
        <v>6</v>
      </c>
      <c r="B141" t="s">
        <v>93</v>
      </c>
      <c r="D141" t="s">
        <v>21</v>
      </c>
      <c r="E141" t="s">
        <v>9</v>
      </c>
      <c r="F141" t="s">
        <v>10</v>
      </c>
      <c r="G141" t="s">
        <v>11</v>
      </c>
      <c r="H141" s="1" t="str">
        <f>HYPERLINK("http://apps.fcc.gov/ecfs/document/view?id=7520944116","  (1 page)")</f>
        <v>  (1 page)</v>
      </c>
    </row>
    <row r="142" spans="1:8" ht="12.75">
      <c r="A142" t="s">
        <v>6</v>
      </c>
      <c r="B142" t="s">
        <v>94</v>
      </c>
      <c r="D142" t="s">
        <v>21</v>
      </c>
      <c r="E142" t="s">
        <v>9</v>
      </c>
      <c r="F142" t="s">
        <v>10</v>
      </c>
      <c r="G142" t="s">
        <v>11</v>
      </c>
      <c r="H142" s="1" t="str">
        <f>HYPERLINK("http://apps.fcc.gov/ecfs/document/view?id=7520944133","  (10 pages)")</f>
        <v>  (10 pages)</v>
      </c>
    </row>
    <row r="143" spans="1:8" ht="12.75">
      <c r="A143" t="s">
        <v>6</v>
      </c>
      <c r="B143" t="s">
        <v>95</v>
      </c>
      <c r="D143" t="s">
        <v>21</v>
      </c>
      <c r="E143" t="s">
        <v>9</v>
      </c>
      <c r="F143" t="s">
        <v>10</v>
      </c>
      <c r="G143" t="s">
        <v>11</v>
      </c>
      <c r="H143" s="1" t="str">
        <f>HYPERLINK("http://apps.fcc.gov/ecfs/document/view?id=7520944048","  (14 pages)")</f>
        <v>  (14 pages)</v>
      </c>
    </row>
    <row r="144" spans="1:8" ht="12.75">
      <c r="A144" t="s">
        <v>6</v>
      </c>
      <c r="B144" t="s">
        <v>96</v>
      </c>
      <c r="D144" t="s">
        <v>21</v>
      </c>
      <c r="E144" t="s">
        <v>9</v>
      </c>
      <c r="F144" t="s">
        <v>10</v>
      </c>
      <c r="G144" t="s">
        <v>11</v>
      </c>
      <c r="H144" s="1" t="str">
        <f>HYPERLINK("http://apps.fcc.gov/ecfs/document/view?id=7520943949","  (4 pages)")</f>
        <v>  (4 pages)</v>
      </c>
    </row>
    <row r="145" spans="1:8" ht="12.75">
      <c r="A145" t="s">
        <v>6</v>
      </c>
      <c r="B145" t="s">
        <v>97</v>
      </c>
      <c r="D145" t="s">
        <v>21</v>
      </c>
      <c r="E145" t="s">
        <v>9</v>
      </c>
      <c r="F145" t="s">
        <v>10</v>
      </c>
      <c r="G145" t="s">
        <v>11</v>
      </c>
      <c r="H145" s="1" t="str">
        <f>HYPERLINK("http://apps.fcc.gov/ecfs/document/view?id=7520943982","  (2 pages)")</f>
        <v>  (2 pages)</v>
      </c>
    </row>
    <row r="146" spans="1:8" ht="12.75">
      <c r="A146" t="s">
        <v>6</v>
      </c>
      <c r="B146" t="s">
        <v>98</v>
      </c>
      <c r="D146" t="s">
        <v>21</v>
      </c>
      <c r="E146" t="s">
        <v>9</v>
      </c>
      <c r="F146" t="s">
        <v>10</v>
      </c>
      <c r="G146" t="s">
        <v>11</v>
      </c>
      <c r="H146" s="1" t="str">
        <f>HYPERLINK("http://apps.fcc.gov/ecfs/document/view?id=7520943878","  (9 pages)")</f>
        <v>  (9 pages)</v>
      </c>
    </row>
    <row r="147" spans="1:8" ht="12.75">
      <c r="A147" t="s">
        <v>6</v>
      </c>
      <c r="B147" t="s">
        <v>99</v>
      </c>
      <c r="D147" t="s">
        <v>21</v>
      </c>
      <c r="E147" t="s">
        <v>9</v>
      </c>
      <c r="F147" t="s">
        <v>10</v>
      </c>
      <c r="G147" t="s">
        <v>11</v>
      </c>
      <c r="H147" s="1" t="str">
        <f>HYPERLINK("http://apps.fcc.gov/ecfs/document/view?id=7520943972","Reponse to NPRM (5 pages)")</f>
        <v>Reponse to NPRM (5 pages)</v>
      </c>
    </row>
    <row r="148" spans="1:8" ht="12.75">
      <c r="A148" t="s">
        <v>6</v>
      </c>
      <c r="B148" t="s">
        <v>100</v>
      </c>
      <c r="D148" t="s">
        <v>21</v>
      </c>
      <c r="E148" t="s">
        <v>9</v>
      </c>
      <c r="F148" t="s">
        <v>10</v>
      </c>
      <c r="G148" t="s">
        <v>11</v>
      </c>
      <c r="H148" s="1" t="str">
        <f>HYPERLINK("http://apps.fcc.gov/ecfs/document/view?id=7520944021","  (40 pages)")</f>
        <v>  (40 pages)</v>
      </c>
    </row>
    <row r="149" spans="1:8" ht="12.75">
      <c r="A149" t="s">
        <v>6</v>
      </c>
      <c r="B149" t="s">
        <v>101</v>
      </c>
      <c r="D149" t="s">
        <v>21</v>
      </c>
      <c r="E149" t="s">
        <v>9</v>
      </c>
      <c r="F149" t="s">
        <v>10</v>
      </c>
      <c r="G149" t="s">
        <v>11</v>
      </c>
      <c r="H149" s="1" t="str">
        <f>HYPERLINK("http://apps.fcc.gov/ecfs/document/view?id=7520943987","  (13 pages)")</f>
        <v>  (13 pages)</v>
      </c>
    </row>
    <row r="150" spans="1:8" ht="12.75">
      <c r="A150" t="s">
        <v>6</v>
      </c>
      <c r="B150" t="s">
        <v>102</v>
      </c>
      <c r="C150" t="s">
        <v>103</v>
      </c>
      <c r="D150" t="s">
        <v>21</v>
      </c>
      <c r="E150" t="s">
        <v>9</v>
      </c>
      <c r="F150" t="s">
        <v>10</v>
      </c>
      <c r="G150" t="s">
        <v>11</v>
      </c>
      <c r="H150" s="1" t="str">
        <f>HYPERLINK("http://apps.fcc.gov/ecfs/document/view?id=7520944056","Comments of NNTRC (29 pages)")</f>
        <v>Comments of NNTRC (29 pages)</v>
      </c>
    </row>
    <row r="151" spans="1:8" ht="12.75">
      <c r="A151" t="s">
        <v>6</v>
      </c>
      <c r="B151" t="s">
        <v>104</v>
      </c>
      <c r="D151" t="s">
        <v>21</v>
      </c>
      <c r="E151" t="s">
        <v>9</v>
      </c>
      <c r="F151" t="s">
        <v>10</v>
      </c>
      <c r="G151" t="s">
        <v>11</v>
      </c>
      <c r="H151" s="1" t="str">
        <f>HYPERLINK("http://apps.fcc.gov/ecfs/document/view?id=7520943952","NIEA Comments (4 pages)")</f>
        <v>NIEA Comments (4 pages)</v>
      </c>
    </row>
    <row r="152" spans="1:8" ht="12.75">
      <c r="A152" t="s">
        <v>6</v>
      </c>
      <c r="B152" t="s">
        <v>105</v>
      </c>
      <c r="D152" t="s">
        <v>21</v>
      </c>
      <c r="E152" t="s">
        <v>9</v>
      </c>
      <c r="F152" t="s">
        <v>10</v>
      </c>
      <c r="G152" t="s">
        <v>11</v>
      </c>
      <c r="H152" s="1" t="str">
        <f>HYPERLINK("http://apps.fcc.gov/ecfs/document/view?id=7520944082","  (5 pages)")</f>
        <v>  (5 pages)</v>
      </c>
    </row>
    <row r="153" spans="1:8" ht="12.75">
      <c r="A153" t="s">
        <v>6</v>
      </c>
      <c r="B153" t="s">
        <v>106</v>
      </c>
      <c r="D153" t="s">
        <v>21</v>
      </c>
      <c r="E153" t="s">
        <v>9</v>
      </c>
      <c r="F153" t="s">
        <v>10</v>
      </c>
      <c r="G153" t="s">
        <v>11</v>
      </c>
      <c r="H153" s="1" t="str">
        <f>HYPERLINK("http://apps.fcc.gov/ecfs/document/view?id=7520943981","  (15 pages)")</f>
        <v>  (15 pages)</v>
      </c>
    </row>
    <row r="154" spans="1:8" ht="12.75">
      <c r="A154" t="s">
        <v>6</v>
      </c>
      <c r="B154" t="s">
        <v>107</v>
      </c>
      <c r="D154" t="s">
        <v>21</v>
      </c>
      <c r="E154" t="s">
        <v>9</v>
      </c>
      <c r="F154" t="s">
        <v>10</v>
      </c>
      <c r="G154" t="s">
        <v>11</v>
      </c>
      <c r="H154" s="1" t="str">
        <f>HYPERLINK("http://apps.fcc.gov/ecfs/document/view?id=7520943869","  (20 pages)")</f>
        <v>  (20 pages)</v>
      </c>
    </row>
    <row r="155" spans="1:8" ht="12.75">
      <c r="A155" t="s">
        <v>6</v>
      </c>
      <c r="B155" t="s">
        <v>108</v>
      </c>
      <c r="D155" t="s">
        <v>21</v>
      </c>
      <c r="E155" t="s">
        <v>9</v>
      </c>
      <c r="F155" t="s">
        <v>10</v>
      </c>
      <c r="G155" t="s">
        <v>11</v>
      </c>
      <c r="H155" s="1" t="str">
        <f>HYPERLINK("http://apps.fcc.gov/ecfs/document/view?id=7520944078","  (6 pages)")</f>
        <v>  (6 pages)</v>
      </c>
    </row>
    <row r="156" spans="1:8" ht="12.75">
      <c r="A156" t="s">
        <v>6</v>
      </c>
      <c r="B156" t="s">
        <v>109</v>
      </c>
      <c r="D156" t="s">
        <v>21</v>
      </c>
      <c r="E156" t="s">
        <v>9</v>
      </c>
      <c r="F156" t="s">
        <v>10</v>
      </c>
      <c r="G156" t="s">
        <v>11</v>
      </c>
      <c r="H156" s="1" t="str">
        <f>HYPERLINK("http://apps.fcc.gov/ecfs/document/view?id=7520943897","  (1 page)")</f>
        <v>  (1 page)</v>
      </c>
    </row>
    <row r="157" spans="1:8" ht="12.75">
      <c r="A157" t="s">
        <v>6</v>
      </c>
      <c r="B157" t="s">
        <v>110</v>
      </c>
      <c r="D157" t="s">
        <v>9</v>
      </c>
      <c r="E157" t="s">
        <v>9</v>
      </c>
      <c r="F157" t="s">
        <v>10</v>
      </c>
      <c r="G157" t="s">
        <v>11</v>
      </c>
      <c r="H157" s="1" t="str">
        <f>HYPERLINK("http://apps.fcc.gov/ecfs/document/view?id=7520944225","  (1 page)")</f>
        <v>  (1 page)</v>
      </c>
    </row>
    <row r="158" spans="1:8" ht="12.75">
      <c r="A158" t="s">
        <v>6</v>
      </c>
      <c r="B158" t="s">
        <v>111</v>
      </c>
      <c r="D158" t="s">
        <v>21</v>
      </c>
      <c r="E158" t="s">
        <v>9</v>
      </c>
      <c r="F158" t="s">
        <v>10</v>
      </c>
      <c r="G158" t="s">
        <v>11</v>
      </c>
      <c r="H158" s="1" t="str">
        <f>HYPERLINK("http://apps.fcc.gov/ecfs/document/view?id=7520943876","  (29 pages)")</f>
        <v>  (29 pages)</v>
      </c>
    </row>
    <row r="159" spans="1:8" ht="12.75">
      <c r="A159" t="s">
        <v>6</v>
      </c>
      <c r="B159" t="s">
        <v>112</v>
      </c>
      <c r="C159" t="s">
        <v>113</v>
      </c>
      <c r="D159" t="s">
        <v>21</v>
      </c>
      <c r="E159" t="s">
        <v>9</v>
      </c>
      <c r="F159" t="s">
        <v>10</v>
      </c>
      <c r="G159" t="s">
        <v>11</v>
      </c>
      <c r="H159" s="1" t="str">
        <f>HYPERLINK("http://apps.fcc.gov/ecfs/document/view?id=7520944074","NACEPF Comments (15 pages)")</f>
        <v>NACEPF Comments (15 pages)</v>
      </c>
    </row>
    <row r="160" spans="1:8" ht="12.75">
      <c r="A160" t="s">
        <v>6</v>
      </c>
      <c r="B160" t="s">
        <v>114</v>
      </c>
      <c r="D160" t="s">
        <v>21</v>
      </c>
      <c r="E160" t="s">
        <v>9</v>
      </c>
      <c r="F160" t="s">
        <v>10</v>
      </c>
      <c r="G160" t="s">
        <v>11</v>
      </c>
      <c r="H160" s="1" t="str">
        <f>HYPERLINK("http://apps.fcc.gov/ecfs/document/view?id=7520944035","  (7 pages)")</f>
        <v>  (7 pages)</v>
      </c>
    </row>
    <row r="161" spans="1:8" ht="12.75">
      <c r="A161" t="s">
        <v>6</v>
      </c>
      <c r="B161" t="s">
        <v>115</v>
      </c>
      <c r="D161" t="s">
        <v>9</v>
      </c>
      <c r="E161" t="s">
        <v>9</v>
      </c>
      <c r="F161" t="s">
        <v>10</v>
      </c>
      <c r="G161" t="s">
        <v>11</v>
      </c>
      <c r="H161" s="1" t="str">
        <f>HYPERLINK("http://apps.fcc.gov/ecfs/document/view?id=7520944248","  (1 page)")</f>
        <v>  (1 page)</v>
      </c>
    </row>
    <row r="162" spans="1:8" ht="12.75">
      <c r="A162" t="s">
        <v>6</v>
      </c>
      <c r="B162" t="s">
        <v>116</v>
      </c>
      <c r="D162" t="s">
        <v>9</v>
      </c>
      <c r="E162" t="s">
        <v>9</v>
      </c>
      <c r="F162" t="s">
        <v>10</v>
      </c>
      <c r="G162" t="s">
        <v>11</v>
      </c>
      <c r="H162" s="1" t="str">
        <f>HYPERLINK("http://apps.fcc.gov/ecfs/document/view?id=7520944221","  (1 page)")</f>
        <v>  (1 page)</v>
      </c>
    </row>
    <row r="163" spans="1:8" ht="12.75">
      <c r="A163" t="s">
        <v>6</v>
      </c>
      <c r="B163" t="s">
        <v>117</v>
      </c>
      <c r="D163" t="s">
        <v>21</v>
      </c>
      <c r="E163" t="s">
        <v>9</v>
      </c>
      <c r="F163" t="s">
        <v>10</v>
      </c>
      <c r="G163" t="s">
        <v>11</v>
      </c>
      <c r="H163" s="1" t="str">
        <f>HYPERLINK("http://apps.fcc.gov/ecfs/document/view?id=7520943918","  (4 pages)")</f>
        <v>  (4 pages)</v>
      </c>
    </row>
    <row r="164" spans="1:8" ht="12.75">
      <c r="A164" t="s">
        <v>6</v>
      </c>
      <c r="B164" t="s">
        <v>118</v>
      </c>
      <c r="D164" t="s">
        <v>21</v>
      </c>
      <c r="E164" t="s">
        <v>9</v>
      </c>
      <c r="F164" t="s">
        <v>10</v>
      </c>
      <c r="G164" t="s">
        <v>11</v>
      </c>
      <c r="H164" s="1" t="str">
        <f>HYPERLINK("http://apps.fcc.gov/ecfs/document/view?id=7520943894","erate comment (1 page)")</f>
        <v>erate comment (1 page)</v>
      </c>
    </row>
    <row r="165" spans="1:8" ht="12.75">
      <c r="A165" t="s">
        <v>6</v>
      </c>
      <c r="B165" t="s">
        <v>119</v>
      </c>
      <c r="D165" t="s">
        <v>21</v>
      </c>
      <c r="E165" t="s">
        <v>9</v>
      </c>
      <c r="F165" t="s">
        <v>10</v>
      </c>
      <c r="G165" t="s">
        <v>11</v>
      </c>
      <c r="H165" s="1" t="str">
        <f>HYPERLINK("http://apps.fcc.gov/ecfs/document/view?id=7520944037","  (2 pages)")</f>
        <v>  (2 pages)</v>
      </c>
    </row>
    <row r="166" spans="1:8" ht="12.75">
      <c r="A166" t="s">
        <v>6</v>
      </c>
      <c r="B166" t="s">
        <v>120</v>
      </c>
      <c r="C166" t="s">
        <v>121</v>
      </c>
      <c r="D166" t="s">
        <v>21</v>
      </c>
      <c r="E166" t="s">
        <v>9</v>
      </c>
      <c r="F166" t="s">
        <v>10</v>
      </c>
      <c r="G166" t="s">
        <v>11</v>
      </c>
      <c r="H166" s="1" t="str">
        <f>HYPERLINK("http://apps.fcc.gov/ecfs/document/view?id=7520943874","  (21 pages)")</f>
        <v>  (21 pages)</v>
      </c>
    </row>
    <row r="167" spans="1:8" ht="12.75">
      <c r="A167" t="s">
        <v>6</v>
      </c>
      <c r="B167" t="s">
        <v>122</v>
      </c>
      <c r="D167" t="s">
        <v>21</v>
      </c>
      <c r="E167" t="s">
        <v>9</v>
      </c>
      <c r="F167" t="s">
        <v>10</v>
      </c>
      <c r="G167" t="s">
        <v>11</v>
      </c>
      <c r="H167" s="1" t="str">
        <f>HYPERLINK("http://apps.fcc.gov/ecfs/document/view?id=7520943970","Massachusetts Erate Comments (11 pages)")</f>
        <v>Massachusetts Erate Comments (11 pages)</v>
      </c>
    </row>
    <row r="168" spans="1:8" ht="12.75">
      <c r="A168" t="s">
        <v>6</v>
      </c>
      <c r="B168" t="s">
        <v>123</v>
      </c>
      <c r="D168" t="s">
        <v>9</v>
      </c>
      <c r="E168" t="s">
        <v>9</v>
      </c>
      <c r="F168" t="s">
        <v>10</v>
      </c>
      <c r="G168" t="s">
        <v>11</v>
      </c>
      <c r="H168" s="1" t="str">
        <f>HYPERLINK("http://apps.fcc.gov/ecfs/document/view?id=7520944259","  (1 page)")</f>
        <v>  (1 page)</v>
      </c>
    </row>
    <row r="169" spans="1:8" ht="12.75">
      <c r="A169" t="s">
        <v>6</v>
      </c>
      <c r="B169" t="s">
        <v>124</v>
      </c>
      <c r="D169" t="s">
        <v>21</v>
      </c>
      <c r="E169" t="s">
        <v>9</v>
      </c>
      <c r="F169" t="s">
        <v>10</v>
      </c>
      <c r="G169" t="s">
        <v>11</v>
      </c>
      <c r="H169" s="1" t="str">
        <f>HYPERLINK("http://apps.fcc.gov/ecfs/document/view?id=7520944119","  (1 page)")</f>
        <v>  (1 page)</v>
      </c>
    </row>
    <row r="170" spans="1:9" ht="12.75">
      <c r="A170" t="s">
        <v>6</v>
      </c>
      <c r="B170" t="s">
        <v>125</v>
      </c>
      <c r="C170" t="s">
        <v>126</v>
      </c>
      <c r="D170" t="s">
        <v>9</v>
      </c>
      <c r="E170" t="s">
        <v>9</v>
      </c>
      <c r="F170" t="s">
        <v>10</v>
      </c>
      <c r="G170" t="s">
        <v>127</v>
      </c>
      <c r="H170" s="1" t="str">
        <f>HYPERLINK("http://apps.fcc.gov/ecfs/document/view?id=7520944252","Transmittal (1 page)")</f>
        <v>Transmittal (1 page)</v>
      </c>
      <c r="I170" s="1" t="str">
        <f>HYPERLINK("http://apps.fcc.gov/ecfs/document/view?id=7520944253","Amended Comments (33 pages)")</f>
        <v>Amended Comments (33 pages)</v>
      </c>
    </row>
    <row r="171" spans="1:8" ht="12.75">
      <c r="A171" t="s">
        <v>6</v>
      </c>
      <c r="B171" t="s">
        <v>128</v>
      </c>
      <c r="D171" t="s">
        <v>9</v>
      </c>
      <c r="E171" t="s">
        <v>9</v>
      </c>
      <c r="F171" t="s">
        <v>10</v>
      </c>
      <c r="G171" t="s">
        <v>11</v>
      </c>
      <c r="H171" s="1" t="str">
        <f>HYPERLINK("http://apps.fcc.gov/ecfs/document/view?id=7520944217","  (1 page)")</f>
        <v>  (1 page)</v>
      </c>
    </row>
    <row r="172" spans="1:8" ht="12.75">
      <c r="A172" t="s">
        <v>6</v>
      </c>
      <c r="B172" t="s">
        <v>129</v>
      </c>
      <c r="D172" t="s">
        <v>21</v>
      </c>
      <c r="E172" t="s">
        <v>9</v>
      </c>
      <c r="F172" t="s">
        <v>10</v>
      </c>
      <c r="G172" t="s">
        <v>11</v>
      </c>
      <c r="H172" s="1" t="str">
        <f>HYPERLINK("http://apps.fcc.gov/ecfs/document/view?id=7520943906","  (3 pages)")</f>
        <v>  (3 pages)</v>
      </c>
    </row>
    <row r="173" spans="1:8" ht="12.75">
      <c r="A173" t="s">
        <v>6</v>
      </c>
      <c r="B173" t="s">
        <v>130</v>
      </c>
      <c r="D173" t="s">
        <v>21</v>
      </c>
      <c r="E173" t="s">
        <v>9</v>
      </c>
      <c r="F173" t="s">
        <v>10</v>
      </c>
      <c r="G173" t="s">
        <v>11</v>
      </c>
      <c r="H173" s="1" t="str">
        <f>HYPERLINK("http://apps.fcc.gov/ecfs/document/view?id=7520943965","  (6 pages)")</f>
        <v>  (6 pages)</v>
      </c>
    </row>
    <row r="174" spans="1:8" ht="12.75">
      <c r="A174" t="s">
        <v>6</v>
      </c>
      <c r="B174" t="s">
        <v>131</v>
      </c>
      <c r="C174" t="s">
        <v>132</v>
      </c>
      <c r="D174" t="s">
        <v>21</v>
      </c>
      <c r="E174" t="s">
        <v>9</v>
      </c>
      <c r="F174" t="s">
        <v>10</v>
      </c>
      <c r="G174" t="s">
        <v>11</v>
      </c>
      <c r="H174" s="1" t="str">
        <f>HYPERLINK("http://apps.fcc.gov/ecfs/document/view?id=7520944015","Comments to Notice of Proposed Rulemaking (24 pages)")</f>
        <v>Comments to Notice of Proposed Rulemaking (24 pages)</v>
      </c>
    </row>
    <row r="175" spans="1:8" ht="12.75">
      <c r="A175" t="s">
        <v>6</v>
      </c>
      <c r="B175" t="s">
        <v>133</v>
      </c>
      <c r="D175" t="s">
        <v>9</v>
      </c>
      <c r="E175" t="s">
        <v>9</v>
      </c>
      <c r="F175" t="s">
        <v>10</v>
      </c>
      <c r="G175" t="s">
        <v>11</v>
      </c>
      <c r="H175" s="1" t="str">
        <f>HYPERLINK("http://apps.fcc.gov/ecfs/document/view?id=7520944211","LEAD Report (16 pages)")</f>
        <v>LEAD Report (16 pages)</v>
      </c>
    </row>
    <row r="176" spans="1:9" ht="12.75">
      <c r="A176" t="s">
        <v>6</v>
      </c>
      <c r="B176" t="s">
        <v>133</v>
      </c>
      <c r="D176" t="s">
        <v>21</v>
      </c>
      <c r="E176" t="s">
        <v>9</v>
      </c>
      <c r="F176" t="s">
        <v>10</v>
      </c>
      <c r="G176" t="s">
        <v>11</v>
      </c>
      <c r="H176" s="1" t="str">
        <f>HYPERLINK("http://apps.fcc.gov/ecfs/document/view?id=7520944089","LEAD FCC Comment (11 pages)")</f>
        <v>LEAD FCC Comment (11 pages)</v>
      </c>
      <c r="I176" s="1" t="str">
        <f>HYPERLINK("http://apps.fcc.gov/ecfs/document/view?id=7520944090","LEAD Blueprint (3 pages)")</f>
        <v>LEAD Blueprint (3 pages)</v>
      </c>
    </row>
    <row r="177" spans="1:8" ht="12.75">
      <c r="A177" t="s">
        <v>6</v>
      </c>
      <c r="B177" t="s">
        <v>134</v>
      </c>
      <c r="D177" t="s">
        <v>9</v>
      </c>
      <c r="E177" t="s">
        <v>9</v>
      </c>
      <c r="F177" t="s">
        <v>10</v>
      </c>
      <c r="G177" t="s">
        <v>11</v>
      </c>
      <c r="H177" s="1" t="str">
        <f>HYPERLINK("http://apps.fcc.gov/ecfs/document/view?id=7520944160","  (2 pages)")</f>
        <v>  (2 pages)</v>
      </c>
    </row>
    <row r="178" spans="1:8" ht="12.75">
      <c r="A178" t="s">
        <v>6</v>
      </c>
      <c r="B178" t="s">
        <v>135</v>
      </c>
      <c r="D178" t="s">
        <v>21</v>
      </c>
      <c r="E178" t="s">
        <v>9</v>
      </c>
      <c r="F178" t="s">
        <v>10</v>
      </c>
      <c r="G178" t="s">
        <v>11</v>
      </c>
      <c r="H178" s="1" t="str">
        <f>HYPERLINK("http://apps.fcc.gov/ecfs/document/view?id=7520943928","  (27 pages)")</f>
        <v>  (27 pages)</v>
      </c>
    </row>
    <row r="179" spans="1:8" ht="12.75">
      <c r="A179" t="s">
        <v>6</v>
      </c>
      <c r="B179" t="s">
        <v>136</v>
      </c>
      <c r="D179" t="s">
        <v>9</v>
      </c>
      <c r="E179" t="s">
        <v>9</v>
      </c>
      <c r="F179" t="s">
        <v>10</v>
      </c>
      <c r="G179" t="s">
        <v>11</v>
      </c>
      <c r="H179" s="1" t="str">
        <f>HYPERLINK("http://apps.fcc.gov/ecfs/document/view?id=7520944250","  (1 page)")</f>
        <v>  (1 page)</v>
      </c>
    </row>
    <row r="180" spans="1:8" ht="12.75">
      <c r="A180" t="s">
        <v>6</v>
      </c>
      <c r="B180" t="s">
        <v>137</v>
      </c>
      <c r="D180" t="s">
        <v>21</v>
      </c>
      <c r="E180" t="s">
        <v>9</v>
      </c>
      <c r="F180" t="s">
        <v>10</v>
      </c>
      <c r="G180" t="s">
        <v>11</v>
      </c>
      <c r="H180" s="1" t="str">
        <f>HYPERLINK("http://apps.fcc.gov/ecfs/document/view?id=7520944152","  (5 pages)")</f>
        <v>  (5 pages)</v>
      </c>
    </row>
    <row r="181" spans="1:8" ht="12.75">
      <c r="A181" t="s">
        <v>6</v>
      </c>
      <c r="B181" t="s">
        <v>138</v>
      </c>
      <c r="D181" t="s">
        <v>21</v>
      </c>
      <c r="E181" t="s">
        <v>9</v>
      </c>
      <c r="F181" t="s">
        <v>10</v>
      </c>
      <c r="G181" t="s">
        <v>11</v>
      </c>
      <c r="H181" s="1" t="str">
        <f>HYPERLINK("http://apps.fcc.gov/ecfs/document/view?id=7520944006","  (6 pages)")</f>
        <v>  (6 pages)</v>
      </c>
    </row>
    <row r="182" spans="1:8" ht="12.75">
      <c r="A182" t="s">
        <v>6</v>
      </c>
      <c r="B182" t="s">
        <v>139</v>
      </c>
      <c r="D182" t="s">
        <v>9</v>
      </c>
      <c r="E182" t="s">
        <v>9</v>
      </c>
      <c r="F182" t="s">
        <v>10</v>
      </c>
      <c r="G182" t="s">
        <v>11</v>
      </c>
      <c r="H182" s="1" t="str">
        <f>HYPERLINK("http://apps.fcc.gov/ecfs/document/view?id=7520944159","  (15 pages)")</f>
        <v>  (15 pages)</v>
      </c>
    </row>
    <row r="183" spans="1:8" ht="12.75">
      <c r="A183" t="s">
        <v>6</v>
      </c>
      <c r="B183" t="s">
        <v>140</v>
      </c>
      <c r="D183" t="s">
        <v>21</v>
      </c>
      <c r="E183" t="s">
        <v>9</v>
      </c>
      <c r="F183" t="s">
        <v>10</v>
      </c>
      <c r="G183" t="s">
        <v>11</v>
      </c>
      <c r="H183" s="1" t="str">
        <f>HYPERLINK("http://apps.fcc.gov/ecfs/document/view?id=7520944054","ERate Letter for Jefferson County Schools Alabama (3 pages)")</f>
        <v>ERate Letter for Jefferson County Schools Alabama (3 pages)</v>
      </c>
    </row>
    <row r="184" spans="1:8" ht="12.75">
      <c r="A184" t="s">
        <v>6</v>
      </c>
      <c r="B184" t="s">
        <v>141</v>
      </c>
      <c r="D184" t="s">
        <v>9</v>
      </c>
      <c r="E184" t="s">
        <v>9</v>
      </c>
      <c r="F184" t="s">
        <v>10</v>
      </c>
      <c r="G184" t="s">
        <v>11</v>
      </c>
      <c r="H184" s="1" t="str">
        <f>HYPERLINK("http://apps.fcc.gov/ecfs/document/view?id=7520944239","  (1 page)")</f>
        <v>  (1 page)</v>
      </c>
    </row>
    <row r="185" spans="1:8" ht="12.75">
      <c r="A185" t="s">
        <v>6</v>
      </c>
      <c r="B185" t="s">
        <v>142</v>
      </c>
      <c r="D185" t="s">
        <v>9</v>
      </c>
      <c r="E185" t="s">
        <v>9</v>
      </c>
      <c r="F185" t="s">
        <v>10</v>
      </c>
      <c r="G185" t="s">
        <v>11</v>
      </c>
      <c r="H185" s="1" t="str">
        <f>HYPERLINK("http://apps.fcc.gov/ecfs/document/view?id=7520944223","  (1 page)")</f>
        <v>  (1 page)</v>
      </c>
    </row>
    <row r="186" spans="1:8" ht="12.75">
      <c r="A186" t="s">
        <v>6</v>
      </c>
      <c r="B186" t="s">
        <v>143</v>
      </c>
      <c r="D186" t="s">
        <v>9</v>
      </c>
      <c r="E186" t="s">
        <v>9</v>
      </c>
      <c r="F186" t="s">
        <v>10</v>
      </c>
      <c r="G186" t="s">
        <v>11</v>
      </c>
      <c r="H186" s="1" t="str">
        <f>HYPERLINK("http://apps.fcc.gov/ecfs/document/view?id=7520944219","  (1 page)")</f>
        <v>  (1 page)</v>
      </c>
    </row>
    <row r="187" spans="1:8" ht="12.75">
      <c r="A187" t="s">
        <v>6</v>
      </c>
      <c r="B187" t="s">
        <v>144</v>
      </c>
      <c r="D187" t="s">
        <v>21</v>
      </c>
      <c r="E187" t="s">
        <v>9</v>
      </c>
      <c r="F187" t="s">
        <v>10</v>
      </c>
      <c r="G187" t="s">
        <v>11</v>
      </c>
      <c r="H187" s="1" t="str">
        <f>HYPERLINK("http://apps.fcc.gov/ecfs/document/view?id=7520944095","Bayshore (2 pages)")</f>
        <v>Bayshore (2 pages)</v>
      </c>
    </row>
    <row r="188" spans="1:8" ht="12.75">
      <c r="A188" t="s">
        <v>6</v>
      </c>
      <c r="B188" t="s">
        <v>145</v>
      </c>
      <c r="D188" t="s">
        <v>21</v>
      </c>
      <c r="E188" t="s">
        <v>9</v>
      </c>
      <c r="F188" t="s">
        <v>10</v>
      </c>
      <c r="G188" t="s">
        <v>11</v>
      </c>
      <c r="H188" s="1" t="str">
        <f>HYPERLINK("http://apps.fcc.gov/ecfs/document/view?id=7520943875","  (2 pages)")</f>
        <v>  (2 pages)</v>
      </c>
    </row>
    <row r="189" spans="1:8" ht="12.75">
      <c r="A189" t="s">
        <v>6</v>
      </c>
      <c r="B189" t="s">
        <v>146</v>
      </c>
      <c r="D189" t="s">
        <v>21</v>
      </c>
      <c r="E189" t="s">
        <v>9</v>
      </c>
      <c r="F189" t="s">
        <v>10</v>
      </c>
      <c r="G189" t="s">
        <v>11</v>
      </c>
      <c r="H189" s="1" t="str">
        <f>HYPERLINK("http://apps.fcc.gov/ecfs/document/view?id=7520944063","  (1 page)")</f>
        <v>  (1 page)</v>
      </c>
    </row>
    <row r="190" spans="1:8" ht="12.75">
      <c r="A190" t="s">
        <v>6</v>
      </c>
      <c r="B190" t="s">
        <v>147</v>
      </c>
      <c r="D190" t="s">
        <v>21</v>
      </c>
      <c r="E190" t="s">
        <v>9</v>
      </c>
      <c r="F190" t="s">
        <v>10</v>
      </c>
      <c r="G190" t="s">
        <v>11</v>
      </c>
      <c r="H190" s="1" t="str">
        <f>HYPERLINK("http://apps.fcc.gov/ecfs/document/view?id=7520943908","  (2 pages)")</f>
        <v>  (2 pages)</v>
      </c>
    </row>
    <row r="191" spans="1:8" ht="12.75">
      <c r="A191" t="s">
        <v>6</v>
      </c>
      <c r="B191" t="s">
        <v>148</v>
      </c>
      <c r="D191" t="s">
        <v>21</v>
      </c>
      <c r="E191" t="s">
        <v>9</v>
      </c>
      <c r="F191" t="s">
        <v>10</v>
      </c>
      <c r="G191" t="s">
        <v>11</v>
      </c>
      <c r="H191" s="1" t="str">
        <f>HYPERLINK("http://apps.fcc.gov/ecfs/document/view?id=7520944101","  (2 pages)")</f>
        <v>  (2 pages)</v>
      </c>
    </row>
    <row r="192" spans="1:8" ht="12.75">
      <c r="A192" t="s">
        <v>6</v>
      </c>
      <c r="B192" t="s">
        <v>149</v>
      </c>
      <c r="D192" t="s">
        <v>9</v>
      </c>
      <c r="E192" t="s">
        <v>9</v>
      </c>
      <c r="F192" t="s">
        <v>10</v>
      </c>
      <c r="G192" t="s">
        <v>11</v>
      </c>
      <c r="H192" s="1" t="str">
        <f>HYPERLINK("http://apps.fcc.gov/ecfs/document/view?id=7520944258","  (1 page)")</f>
        <v>  (1 page)</v>
      </c>
    </row>
    <row r="193" spans="1:8" ht="12.75">
      <c r="A193" t="s">
        <v>6</v>
      </c>
      <c r="B193" t="s">
        <v>150</v>
      </c>
      <c r="D193" t="s">
        <v>21</v>
      </c>
      <c r="E193" t="s">
        <v>9</v>
      </c>
      <c r="F193" t="s">
        <v>10</v>
      </c>
      <c r="G193" t="s">
        <v>11</v>
      </c>
      <c r="H193" s="1" t="str">
        <f>HYPERLINK("http://apps.fcc.gov/ecfs/document/view?id=7520943907","  (1 page)")</f>
        <v>  (1 page)</v>
      </c>
    </row>
    <row r="194" spans="1:8" ht="12.75">
      <c r="A194" t="s">
        <v>6</v>
      </c>
      <c r="B194" t="s">
        <v>151</v>
      </c>
      <c r="D194" t="s">
        <v>9</v>
      </c>
      <c r="E194" t="s">
        <v>9</v>
      </c>
      <c r="F194" t="s">
        <v>10</v>
      </c>
      <c r="G194" t="s">
        <v>11</v>
      </c>
      <c r="H194" s="1" t="str">
        <f>HYPERLINK("http://apps.fcc.gov/ecfs/document/view?id=7520944254","  (1 page)")</f>
        <v>  (1 page)</v>
      </c>
    </row>
    <row r="195" spans="1:8" ht="12.75">
      <c r="A195" t="s">
        <v>6</v>
      </c>
      <c r="B195" t="s">
        <v>152</v>
      </c>
      <c r="D195" t="s">
        <v>21</v>
      </c>
      <c r="E195" t="s">
        <v>9</v>
      </c>
      <c r="F195" t="s">
        <v>10</v>
      </c>
      <c r="G195" t="s">
        <v>11</v>
      </c>
      <c r="H195" s="1" t="str">
        <f>HYPERLINK("http://apps.fcc.gov/ecfs/document/view?id=7520944100","Crowley (1 page)")</f>
        <v>Crowley (1 page)</v>
      </c>
    </row>
    <row r="196" spans="1:8" ht="12.75">
      <c r="A196" t="s">
        <v>6</v>
      </c>
      <c r="B196" t="s">
        <v>153</v>
      </c>
      <c r="D196" t="s">
        <v>9</v>
      </c>
      <c r="E196" t="s">
        <v>9</v>
      </c>
      <c r="F196" t="s">
        <v>10</v>
      </c>
      <c r="G196" t="s">
        <v>11</v>
      </c>
      <c r="H196" s="1" t="str">
        <f>HYPERLINK("http://apps.fcc.gov/ecfs/document/view?id=7520944220","  (1 page)")</f>
        <v>  (1 page)</v>
      </c>
    </row>
    <row r="197" spans="1:8" ht="12.75">
      <c r="A197" t="s">
        <v>6</v>
      </c>
      <c r="B197" t="s">
        <v>154</v>
      </c>
      <c r="D197" t="s">
        <v>21</v>
      </c>
      <c r="E197" t="s">
        <v>9</v>
      </c>
      <c r="F197" t="s">
        <v>10</v>
      </c>
      <c r="G197" t="s">
        <v>11</v>
      </c>
      <c r="H197" s="1" t="str">
        <f>HYPERLINK("http://apps.fcc.gov/ecfs/document/view?id=7520943959","  (2 pages)")</f>
        <v>  (2 pages)</v>
      </c>
    </row>
    <row r="198" spans="1:8" ht="12.75">
      <c r="A198" t="s">
        <v>6</v>
      </c>
      <c r="B198" t="s">
        <v>154</v>
      </c>
      <c r="D198" t="s">
        <v>21</v>
      </c>
      <c r="E198" t="s">
        <v>9</v>
      </c>
      <c r="F198" t="s">
        <v>10</v>
      </c>
      <c r="G198" t="s">
        <v>11</v>
      </c>
      <c r="H198" s="1" t="str">
        <f>HYPERLINK("http://apps.fcc.gov/ecfs/document/view?id=7520943956","  (2 pages)")</f>
        <v>  (2 pages)</v>
      </c>
    </row>
    <row r="199" spans="1:8" ht="12.75">
      <c r="A199" t="s">
        <v>6</v>
      </c>
      <c r="B199" t="s">
        <v>155</v>
      </c>
      <c r="D199" t="s">
        <v>21</v>
      </c>
      <c r="E199" t="s">
        <v>9</v>
      </c>
      <c r="F199" t="s">
        <v>10</v>
      </c>
      <c r="G199" t="s">
        <v>11</v>
      </c>
      <c r="H199" s="1" t="str">
        <f>HYPERLINK("http://apps.fcc.gov/ecfs/document/view?id=7520944094","  (2 pages)")</f>
        <v>  (2 pages)</v>
      </c>
    </row>
    <row r="200" spans="1:8" ht="12.75">
      <c r="A200" t="s">
        <v>6</v>
      </c>
      <c r="B200" t="s">
        <v>156</v>
      </c>
      <c r="D200" t="s">
        <v>21</v>
      </c>
      <c r="E200" t="s">
        <v>9</v>
      </c>
      <c r="F200" t="s">
        <v>10</v>
      </c>
      <c r="G200" t="s">
        <v>11</v>
      </c>
      <c r="H200" s="1" t="str">
        <f>HYPERLINK("http://apps.fcc.gov/ecfs/document/view?id=7520944151","  (8 pages)")</f>
        <v>  (8 pages)</v>
      </c>
    </row>
    <row r="201" spans="1:8" ht="12.75">
      <c r="A201" t="s">
        <v>6</v>
      </c>
      <c r="B201" t="s">
        <v>157</v>
      </c>
      <c r="D201" t="s">
        <v>9</v>
      </c>
      <c r="E201" t="s">
        <v>9</v>
      </c>
      <c r="F201" t="s">
        <v>10</v>
      </c>
      <c r="G201" t="s">
        <v>11</v>
      </c>
      <c r="H201" s="1" t="str">
        <f>HYPERLINK("http://apps.fcc.gov/ecfs/document/view?id=7520944229","  (1 page)")</f>
        <v>  (1 page)</v>
      </c>
    </row>
    <row r="202" spans="1:8" ht="12.75">
      <c r="A202" t="s">
        <v>6</v>
      </c>
      <c r="B202" t="s">
        <v>158</v>
      </c>
      <c r="D202" t="s">
        <v>21</v>
      </c>
      <c r="E202" t="s">
        <v>9</v>
      </c>
      <c r="F202" t="s">
        <v>10</v>
      </c>
      <c r="G202" t="s">
        <v>11</v>
      </c>
      <c r="H202" s="1" t="str">
        <f>HYPERLINK("http://apps.fcc.gov/ecfs/document/view?id=7520944117","  (2 pages)")</f>
        <v>  (2 pages)</v>
      </c>
    </row>
    <row r="203" spans="1:8" ht="12.75">
      <c r="A203" t="s">
        <v>6</v>
      </c>
      <c r="B203" t="s">
        <v>159</v>
      </c>
      <c r="C203" t="s">
        <v>24</v>
      </c>
      <c r="D203" t="s">
        <v>21</v>
      </c>
      <c r="E203" t="s">
        <v>9</v>
      </c>
      <c r="F203" t="s">
        <v>10</v>
      </c>
      <c r="G203" t="s">
        <v>11</v>
      </c>
      <c r="H203" s="1" t="str">
        <f>HYPERLINK("http://apps.fcc.gov/ecfs/document/view?id=7520944001","  (4 pages)")</f>
        <v>  (4 pages)</v>
      </c>
    </row>
    <row r="204" spans="1:8" ht="12.75">
      <c r="A204" t="s">
        <v>6</v>
      </c>
      <c r="B204" t="s">
        <v>160</v>
      </c>
      <c r="D204" t="s">
        <v>9</v>
      </c>
      <c r="E204" t="s">
        <v>9</v>
      </c>
      <c r="F204" t="s">
        <v>10</v>
      </c>
      <c r="G204" t="s">
        <v>11</v>
      </c>
      <c r="H204" s="1" t="str">
        <f>HYPERLINK("http://apps.fcc.gov/ecfs/document/view?id=7520944230","  (1 page)")</f>
        <v>  (1 page)</v>
      </c>
    </row>
    <row r="205" spans="1:8" ht="12.75">
      <c r="A205" t="s">
        <v>6</v>
      </c>
      <c r="B205" t="s">
        <v>161</v>
      </c>
      <c r="D205" t="s">
        <v>21</v>
      </c>
      <c r="E205" t="s">
        <v>9</v>
      </c>
      <c r="F205" t="s">
        <v>10</v>
      </c>
      <c r="G205" t="s">
        <v>11</v>
      </c>
      <c r="H205" s="1" t="str">
        <f>HYPERLINK("http://apps.fcc.gov/ecfs/document/view?id=7520944112","  (2 pages)")</f>
        <v>  (2 pages)</v>
      </c>
    </row>
    <row r="206" spans="1:8" ht="12.75">
      <c r="A206" t="s">
        <v>6</v>
      </c>
      <c r="B206" t="s">
        <v>162</v>
      </c>
      <c r="D206" t="s">
        <v>9</v>
      </c>
      <c r="E206" t="s">
        <v>9</v>
      </c>
      <c r="F206" t="s">
        <v>10</v>
      </c>
      <c r="G206" t="s">
        <v>11</v>
      </c>
      <c r="H206" s="1" t="str">
        <f>HYPERLINK("http://apps.fcc.gov/ecfs/document/view?id=7520944226","  (1 page)")</f>
        <v>  (1 page)</v>
      </c>
    </row>
    <row r="207" spans="1:8" ht="12.75">
      <c r="A207" t="s">
        <v>6</v>
      </c>
      <c r="B207" t="s">
        <v>163</v>
      </c>
      <c r="D207" t="s">
        <v>21</v>
      </c>
      <c r="E207" t="s">
        <v>9</v>
      </c>
      <c r="F207" t="s">
        <v>10</v>
      </c>
      <c r="G207" t="s">
        <v>11</v>
      </c>
      <c r="H207" s="1" t="str">
        <f>HYPERLINK("http://apps.fcc.gov/ecfs/document/view?id=7520943991","  (18 pages)")</f>
        <v>  (18 pages)</v>
      </c>
    </row>
    <row r="208" spans="1:8" ht="12.75">
      <c r="A208" t="s">
        <v>6</v>
      </c>
      <c r="B208" t="s">
        <v>163</v>
      </c>
      <c r="D208" t="s">
        <v>21</v>
      </c>
      <c r="E208" t="s">
        <v>9</v>
      </c>
      <c r="F208" t="s">
        <v>10</v>
      </c>
      <c r="G208" t="s">
        <v>11</v>
      </c>
      <c r="H208" s="1" t="str">
        <f>HYPERLINK("http://apps.fcc.gov/ecfs/document/view?id=7520943967","  (18 pages)")</f>
        <v>  (18 pages)</v>
      </c>
    </row>
    <row r="209" spans="1:8" ht="12.75">
      <c r="A209" t="s">
        <v>6</v>
      </c>
      <c r="B209" t="s">
        <v>164</v>
      </c>
      <c r="D209" t="s">
        <v>21</v>
      </c>
      <c r="E209" t="s">
        <v>9</v>
      </c>
      <c r="F209" t="s">
        <v>10</v>
      </c>
      <c r="G209" t="s">
        <v>11</v>
      </c>
      <c r="H209" s="1" t="str">
        <f>HYPERLINK("http://apps.fcc.gov/ecfs/document/view?id=7520944071","  (27 pages)")</f>
        <v>  (27 pages)</v>
      </c>
    </row>
    <row r="210" spans="1:8" ht="12.75">
      <c r="A210" t="s">
        <v>6</v>
      </c>
      <c r="B210" t="s">
        <v>165</v>
      </c>
      <c r="D210" t="s">
        <v>21</v>
      </c>
      <c r="E210" t="s">
        <v>9</v>
      </c>
      <c r="F210" t="s">
        <v>10</v>
      </c>
      <c r="G210" t="s">
        <v>11</v>
      </c>
      <c r="H210" s="1" t="str">
        <f>HYPERLINK("http://apps.fcc.gov/ecfs/document/view?id=7520944039","  (23 pages)")</f>
        <v>  (23 pages)</v>
      </c>
    </row>
    <row r="211" spans="1:8" ht="12.75">
      <c r="A211" t="s">
        <v>6</v>
      </c>
      <c r="B211" t="s">
        <v>166</v>
      </c>
      <c r="D211" t="s">
        <v>21</v>
      </c>
      <c r="E211" t="s">
        <v>9</v>
      </c>
      <c r="F211" t="s">
        <v>10</v>
      </c>
      <c r="G211" t="s">
        <v>11</v>
      </c>
      <c r="H211" s="1" t="str">
        <f>HYPERLINK("http://apps.fcc.gov/ecfs/document/view?id=7520944064","  (2 pages)")</f>
        <v>  (2 pages)</v>
      </c>
    </row>
    <row r="212" spans="1:8" ht="12.75">
      <c r="A212" t="s">
        <v>6</v>
      </c>
      <c r="B212" t="s">
        <v>167</v>
      </c>
      <c r="C212" t="s">
        <v>168</v>
      </c>
      <c r="D212" t="s">
        <v>21</v>
      </c>
      <c r="E212" t="s">
        <v>9</v>
      </c>
      <c r="F212" t="s">
        <v>10</v>
      </c>
      <c r="G212" t="s">
        <v>11</v>
      </c>
      <c r="H212" s="1" t="str">
        <f>HYPERLINK("http://apps.fcc.gov/ecfs/document/view?id=7520944136","  (7 pages)")</f>
        <v>  (7 pages)</v>
      </c>
    </row>
    <row r="213" spans="1:8" ht="12.75">
      <c r="A213" t="s">
        <v>6</v>
      </c>
      <c r="B213" t="s">
        <v>169</v>
      </c>
      <c r="C213" t="s">
        <v>170</v>
      </c>
      <c r="D213" t="s">
        <v>21</v>
      </c>
      <c r="E213" t="s">
        <v>9</v>
      </c>
      <c r="F213" t="s">
        <v>10</v>
      </c>
      <c r="G213" t="s">
        <v>11</v>
      </c>
      <c r="H213" s="1" t="str">
        <f>HYPERLINK("http://apps.fcc.gov/ecfs/document/view?id=7520943921","  (30 pages)")</f>
        <v>  (30 pages)</v>
      </c>
    </row>
    <row r="214" spans="1:8" ht="12.75">
      <c r="A214" t="s">
        <v>6</v>
      </c>
      <c r="B214" t="s">
        <v>171</v>
      </c>
      <c r="D214" t="s">
        <v>21</v>
      </c>
      <c r="E214" t="s">
        <v>9</v>
      </c>
      <c r="F214" t="s">
        <v>10</v>
      </c>
      <c r="G214" t="s">
        <v>11</v>
      </c>
      <c r="H214" s="1" t="str">
        <f>HYPERLINK("http://apps.fcc.gov/ecfs/document/view?id=7520944098","Merced River (2 pages)")</f>
        <v>Merced River (2 pages)</v>
      </c>
    </row>
    <row r="215" spans="1:8" ht="12.75">
      <c r="A215" t="s">
        <v>6</v>
      </c>
      <c r="B215" t="s">
        <v>172</v>
      </c>
      <c r="D215" t="s">
        <v>9</v>
      </c>
      <c r="E215" t="s">
        <v>9</v>
      </c>
      <c r="F215" t="s">
        <v>10</v>
      </c>
      <c r="G215" t="s">
        <v>11</v>
      </c>
      <c r="H215" s="1" t="str">
        <f>HYPERLINK("http://apps.fcc.gov/ecfs/document/view?id=7520944256","  (1 page)")</f>
        <v>  (1 page)</v>
      </c>
    </row>
    <row r="216" spans="1:8" ht="12.75">
      <c r="A216" t="s">
        <v>6</v>
      </c>
      <c r="B216" t="s">
        <v>173</v>
      </c>
      <c r="C216" t="s">
        <v>174</v>
      </c>
      <c r="D216" t="s">
        <v>21</v>
      </c>
      <c r="E216" t="s">
        <v>9</v>
      </c>
      <c r="F216" t="s">
        <v>10</v>
      </c>
      <c r="G216" t="s">
        <v>11</v>
      </c>
      <c r="H216" s="1" t="str">
        <f>HYPERLINK("http://apps.fcc.gov/ecfs/document/view?id=7520944147","HIEM E rate Modernization Comments (10 pages)")</f>
        <v>HIEM E rate Modernization Comments (10 pages)</v>
      </c>
    </row>
    <row r="217" spans="1:8" ht="12.75">
      <c r="A217" t="s">
        <v>6</v>
      </c>
      <c r="B217" t="s">
        <v>175</v>
      </c>
      <c r="D217" t="s">
        <v>21</v>
      </c>
      <c r="E217" t="s">
        <v>9</v>
      </c>
      <c r="F217" t="s">
        <v>10</v>
      </c>
      <c r="G217" t="s">
        <v>11</v>
      </c>
      <c r="H217" s="1" t="str">
        <f>HYPERLINK("http://apps.fcc.gov/ecfs/document/view?id=7520944105","  (1 page)")</f>
        <v>  (1 page)</v>
      </c>
    </row>
    <row r="218" spans="1:8" ht="12.75">
      <c r="A218" t="s">
        <v>6</v>
      </c>
      <c r="B218" t="s">
        <v>176</v>
      </c>
      <c r="D218" t="s">
        <v>9</v>
      </c>
      <c r="E218" t="s">
        <v>9</v>
      </c>
      <c r="F218" t="s">
        <v>10</v>
      </c>
      <c r="G218" t="s">
        <v>11</v>
      </c>
      <c r="H218" s="1" t="str">
        <f>HYPERLINK("http://apps.fcc.gov/ecfs/document/view?id=7520944161","Comments on E Rate modernization (3 pages)")</f>
        <v>Comments on E Rate modernization (3 pages)</v>
      </c>
    </row>
    <row r="219" spans="1:8" ht="12.75">
      <c r="A219" t="s">
        <v>6</v>
      </c>
      <c r="B219" t="s">
        <v>177</v>
      </c>
      <c r="C219" t="s">
        <v>178</v>
      </c>
      <c r="D219" t="s">
        <v>21</v>
      </c>
      <c r="E219" t="s">
        <v>9</v>
      </c>
      <c r="F219" t="s">
        <v>10</v>
      </c>
      <c r="G219" t="s">
        <v>11</v>
      </c>
      <c r="H219" s="1" t="str">
        <f>HYPERLINK("http://apps.fcc.gov/ecfs/document/view?id=7520944097","  (19 pages)")</f>
        <v>  (19 pages)</v>
      </c>
    </row>
    <row r="220" spans="1:8" ht="12.75">
      <c r="A220" t="s">
        <v>6</v>
      </c>
      <c r="B220" t="s">
        <v>179</v>
      </c>
      <c r="D220" t="s">
        <v>21</v>
      </c>
      <c r="E220" t="s">
        <v>9</v>
      </c>
      <c r="F220" t="s">
        <v>10</v>
      </c>
      <c r="G220" t="s">
        <v>180</v>
      </c>
      <c r="H220" s="1" t="str">
        <f>HYPERLINK("http://apps.fcc.gov/ecfs/document/view?id=7520944144","  (2 pages)")</f>
        <v>  (2 pages)</v>
      </c>
    </row>
    <row r="221" spans="1:8" ht="12.75">
      <c r="A221" t="s">
        <v>6</v>
      </c>
      <c r="B221" t="s">
        <v>181</v>
      </c>
      <c r="D221" t="s">
        <v>21</v>
      </c>
      <c r="E221" t="s">
        <v>9</v>
      </c>
      <c r="F221" t="s">
        <v>10</v>
      </c>
      <c r="G221" t="s">
        <v>11</v>
      </c>
      <c r="H221" s="1" t="str">
        <f>HYPERLINK("http://apps.fcc.gov/ecfs/document/view?id=7520944110","  (2 pages)")</f>
        <v>  (2 pages)</v>
      </c>
    </row>
    <row r="222" spans="1:8" ht="12.75">
      <c r="A222" t="s">
        <v>6</v>
      </c>
      <c r="B222" t="s">
        <v>182</v>
      </c>
      <c r="D222" t="s">
        <v>21</v>
      </c>
      <c r="E222" t="s">
        <v>9</v>
      </c>
      <c r="F222" t="s">
        <v>10</v>
      </c>
      <c r="G222" t="s">
        <v>11</v>
      </c>
      <c r="H222" s="1" t="str">
        <f>HYPERLINK("http://apps.fcc.gov/ecfs/document/view?id=7520943979","Gaggle Comment on NPRM proposed changes to Email and Web Hosting (7 pages)")</f>
        <v>Gaggle Comment on NPRM proposed changes to Email and Web Hosting (7 pages)</v>
      </c>
    </row>
    <row r="223" spans="1:8" ht="12.75">
      <c r="A223" t="s">
        <v>6</v>
      </c>
      <c r="B223" t="s">
        <v>183</v>
      </c>
      <c r="D223" t="s">
        <v>21</v>
      </c>
      <c r="E223" t="s">
        <v>9</v>
      </c>
      <c r="F223" t="s">
        <v>10</v>
      </c>
      <c r="G223" t="s">
        <v>11</v>
      </c>
      <c r="H223" s="1" t="str">
        <f>HYPERLINK("http://apps.fcc.gov/ecfs/document/view?id=7520944155","  (70 pages)")</f>
        <v>  (70 pages)</v>
      </c>
    </row>
    <row r="224" spans="1:8" ht="12.75">
      <c r="A224" t="s">
        <v>6</v>
      </c>
      <c r="B224" t="s">
        <v>184</v>
      </c>
      <c r="D224" t="s">
        <v>9</v>
      </c>
      <c r="E224" t="s">
        <v>9</v>
      </c>
      <c r="F224" t="s">
        <v>10</v>
      </c>
      <c r="G224" t="s">
        <v>11</v>
      </c>
      <c r="H224" s="1" t="str">
        <f>HYPERLINK("http://apps.fcc.gov/ecfs/document/view?id=7520944249","  (1 page)")</f>
        <v>  (1 page)</v>
      </c>
    </row>
    <row r="225" spans="1:8" ht="12.75">
      <c r="A225" t="s">
        <v>6</v>
      </c>
      <c r="B225" t="s">
        <v>185</v>
      </c>
      <c r="D225" t="s">
        <v>21</v>
      </c>
      <c r="E225" t="s">
        <v>9</v>
      </c>
      <c r="F225" t="s">
        <v>10</v>
      </c>
      <c r="G225" t="s">
        <v>11</v>
      </c>
      <c r="H225" s="1" t="str">
        <f>HYPERLINK("http://apps.fcc.gov/ecfs/document/view?id=7520944046","E rate 2 0 NPRM Initial Comments (115 pages)")</f>
        <v>E rate 2 0 NPRM Initial Comments (115 pages)</v>
      </c>
    </row>
    <row r="226" spans="1:8" ht="12.75">
      <c r="A226" t="s">
        <v>6</v>
      </c>
      <c r="B226" t="s">
        <v>186</v>
      </c>
      <c r="D226" t="s">
        <v>21</v>
      </c>
      <c r="E226" t="s">
        <v>9</v>
      </c>
      <c r="F226" t="s">
        <v>10</v>
      </c>
      <c r="G226" t="s">
        <v>11</v>
      </c>
      <c r="H226" s="1" t="str">
        <f>HYPERLINK("http://apps.fcc.gov/ecfs/document/view?id=7520944149","  (5 pages)")</f>
        <v>  (5 pages)</v>
      </c>
    </row>
    <row r="227" spans="1:8" ht="12.75">
      <c r="A227" t="s">
        <v>6</v>
      </c>
      <c r="B227" t="s">
        <v>187</v>
      </c>
      <c r="D227" t="s">
        <v>21</v>
      </c>
      <c r="E227" t="s">
        <v>9</v>
      </c>
      <c r="F227" t="s">
        <v>10</v>
      </c>
      <c r="G227" t="s">
        <v>11</v>
      </c>
      <c r="H227" s="1" t="str">
        <f>HYPERLINK("http://apps.fcc.gov/ecfs/document/view?id=7520944087","  (37 pages)")</f>
        <v>  (37 pages)</v>
      </c>
    </row>
    <row r="228" spans="1:8" ht="12.75">
      <c r="A228" t="s">
        <v>6</v>
      </c>
      <c r="B228" t="s">
        <v>188</v>
      </c>
      <c r="D228" t="s">
        <v>21</v>
      </c>
      <c r="E228" t="s">
        <v>9</v>
      </c>
      <c r="F228" t="s">
        <v>10</v>
      </c>
      <c r="G228" t="s">
        <v>11</v>
      </c>
      <c r="H228" s="1" t="str">
        <f>HYPERLINK("http://apps.fcc.gov/ecfs/document/view?id=7520943900","  (95 pages)")</f>
        <v>  (95 pages)</v>
      </c>
    </row>
    <row r="229" spans="1:8" ht="12.75">
      <c r="A229" t="s">
        <v>6</v>
      </c>
      <c r="B229" t="s">
        <v>189</v>
      </c>
      <c r="D229" t="s">
        <v>21</v>
      </c>
      <c r="E229" t="s">
        <v>9</v>
      </c>
      <c r="F229" t="s">
        <v>10</v>
      </c>
      <c r="G229" t="s">
        <v>11</v>
      </c>
      <c r="H229" s="1" t="str">
        <f>HYPERLINK("http://apps.fcc.gov/ecfs/document/view?id=7520943873","  (34 pages)")</f>
        <v>  (34 pages)</v>
      </c>
    </row>
    <row r="230" spans="1:8" ht="12.75">
      <c r="A230" t="s">
        <v>6</v>
      </c>
      <c r="B230" t="s">
        <v>190</v>
      </c>
      <c r="D230" t="s">
        <v>21</v>
      </c>
      <c r="E230" t="s">
        <v>9</v>
      </c>
      <c r="F230" t="s">
        <v>10</v>
      </c>
      <c r="G230" t="s">
        <v>11</v>
      </c>
      <c r="H230" s="1" t="str">
        <f>HYPERLINK("http://apps.fcc.gov/ecfs/document/view?id=7520943930","Education Libraries Networks Coalition EdLiNC Comments in E Rate Proceeding (36 pages)")</f>
        <v>Education Libraries Networks Coalition EdLiNC Comments in E Rate Proceeding (36 pages)</v>
      </c>
    </row>
    <row r="231" spans="1:8" ht="12.75">
      <c r="A231" t="s">
        <v>6</v>
      </c>
      <c r="B231" t="s">
        <v>191</v>
      </c>
      <c r="C231" t="s">
        <v>121</v>
      </c>
      <c r="D231" t="s">
        <v>21</v>
      </c>
      <c r="E231" t="s">
        <v>9</v>
      </c>
      <c r="F231" t="s">
        <v>10</v>
      </c>
      <c r="G231" t="s">
        <v>11</v>
      </c>
      <c r="H231" s="1" t="str">
        <f>HYPERLINK("http://apps.fcc.gov/ecfs/document/view?id=7520944016","  (44 pages)")</f>
        <v>  (44 pages)</v>
      </c>
    </row>
    <row r="232" spans="1:8" ht="12.75">
      <c r="A232" t="s">
        <v>6</v>
      </c>
      <c r="B232" t="s">
        <v>192</v>
      </c>
      <c r="D232" t="s">
        <v>21</v>
      </c>
      <c r="E232" t="s">
        <v>9</v>
      </c>
      <c r="F232" t="s">
        <v>10</v>
      </c>
      <c r="G232" t="s">
        <v>11</v>
      </c>
      <c r="H232" s="1" t="str">
        <f>HYPERLINK("http://apps.fcc.gov/ecfs/document/view?id=7520944077","  (3 pages)")</f>
        <v>  (3 pages)</v>
      </c>
    </row>
    <row r="233" spans="1:8" ht="12.75">
      <c r="A233" t="s">
        <v>6</v>
      </c>
      <c r="B233" t="s">
        <v>193</v>
      </c>
      <c r="C233" t="s">
        <v>194</v>
      </c>
      <c r="D233" t="s">
        <v>21</v>
      </c>
      <c r="E233" t="s">
        <v>9</v>
      </c>
      <c r="F233" t="s">
        <v>10</v>
      </c>
      <c r="G233" t="s">
        <v>11</v>
      </c>
      <c r="H233" s="1" t="str">
        <f>HYPERLINK("http://apps.fcc.gov/ecfs/document/view?id=7520943975","  (39 pages)")</f>
        <v>  (39 pages)</v>
      </c>
    </row>
    <row r="234" spans="1:8" ht="12.75">
      <c r="A234" t="s">
        <v>6</v>
      </c>
      <c r="B234" t="s">
        <v>195</v>
      </c>
      <c r="D234" t="s">
        <v>21</v>
      </c>
      <c r="E234" t="s">
        <v>9</v>
      </c>
      <c r="F234" t="s">
        <v>10</v>
      </c>
      <c r="G234" t="s">
        <v>11</v>
      </c>
      <c r="H234" s="1" t="str">
        <f>HYPERLINK("http://apps.fcc.gov/ecfs/document/view?id=7520944026","  (33 pages)")</f>
        <v>  (33 pages)</v>
      </c>
    </row>
    <row r="235" spans="1:8" ht="12.75">
      <c r="A235" t="s">
        <v>6</v>
      </c>
      <c r="B235" t="s">
        <v>196</v>
      </c>
      <c r="D235" t="s">
        <v>21</v>
      </c>
      <c r="E235" t="s">
        <v>9</v>
      </c>
      <c r="F235" t="s">
        <v>10</v>
      </c>
      <c r="G235" t="s">
        <v>11</v>
      </c>
      <c r="H235" s="1" t="str">
        <f>HYPERLINK("http://apps.fcc.gov/ecfs/document/view?id=7520944010","  (14 pages)")</f>
        <v>  (14 pages)</v>
      </c>
    </row>
    <row r="236" spans="1:8" ht="12.75">
      <c r="A236" t="s">
        <v>6</v>
      </c>
      <c r="B236" t="s">
        <v>197</v>
      </c>
      <c r="D236" t="s">
        <v>21</v>
      </c>
      <c r="E236" t="s">
        <v>9</v>
      </c>
      <c r="F236" t="s">
        <v>10</v>
      </c>
      <c r="G236" t="s">
        <v>11</v>
      </c>
      <c r="H236" s="1" t="str">
        <f>HYPERLINK("http://apps.fcc.gov/ecfs/document/view?id=7520944023","  (7 pages)")</f>
        <v>  (7 pages)</v>
      </c>
    </row>
    <row r="237" spans="1:8" ht="12.75">
      <c r="A237" t="s">
        <v>6</v>
      </c>
      <c r="B237" t="s">
        <v>198</v>
      </c>
      <c r="D237" t="s">
        <v>21</v>
      </c>
      <c r="E237" t="s">
        <v>9</v>
      </c>
      <c r="F237" t="s">
        <v>10</v>
      </c>
      <c r="G237" t="s">
        <v>11</v>
      </c>
      <c r="H237" s="1" t="str">
        <f>HYPERLINK("http://apps.fcc.gov/ecfs/document/view?id=7520943943","  (1 page)")</f>
        <v>  (1 page)</v>
      </c>
    </row>
    <row r="238" spans="1:8" ht="12.75">
      <c r="A238" t="s">
        <v>6</v>
      </c>
      <c r="B238" t="s">
        <v>199</v>
      </c>
      <c r="D238" t="s">
        <v>21</v>
      </c>
      <c r="E238" t="s">
        <v>9</v>
      </c>
      <c r="F238" t="s">
        <v>10</v>
      </c>
      <c r="G238" t="s">
        <v>11</v>
      </c>
      <c r="H238" s="1" t="str">
        <f>HYPERLINK("http://apps.fcc.gov/ecfs/document/view?id=7520944118","  (2 pages)")</f>
        <v>  (2 pages)</v>
      </c>
    </row>
    <row r="239" spans="1:8" ht="12.75">
      <c r="A239" t="s">
        <v>6</v>
      </c>
      <c r="B239" t="s">
        <v>200</v>
      </c>
      <c r="D239" t="s">
        <v>9</v>
      </c>
      <c r="E239" t="s">
        <v>9</v>
      </c>
      <c r="F239" t="s">
        <v>10</v>
      </c>
      <c r="G239" t="s">
        <v>11</v>
      </c>
      <c r="H239" s="1" t="str">
        <f>HYPERLINK("http://apps.fcc.gov/ecfs/document/view?id=7520944228","  (1 page)")</f>
        <v>  (1 page)</v>
      </c>
    </row>
    <row r="240" spans="1:8" ht="12.75">
      <c r="A240" t="s">
        <v>6</v>
      </c>
      <c r="B240" t="s">
        <v>201</v>
      </c>
      <c r="D240" t="s">
        <v>21</v>
      </c>
      <c r="E240" t="s">
        <v>9</v>
      </c>
      <c r="F240" t="s">
        <v>10</v>
      </c>
      <c r="G240" t="s">
        <v>11</v>
      </c>
      <c r="H240" s="1" t="str">
        <f>HYPERLINK("http://apps.fcc.gov/ecfs/document/view?id=7520944127","  (1 page)")</f>
        <v>  (1 page)</v>
      </c>
    </row>
    <row r="241" spans="1:8" ht="12.75">
      <c r="A241" t="s">
        <v>6</v>
      </c>
      <c r="B241" t="s">
        <v>126</v>
      </c>
      <c r="D241" t="s">
        <v>21</v>
      </c>
      <c r="E241" t="s">
        <v>9</v>
      </c>
      <c r="F241" t="s">
        <v>10</v>
      </c>
      <c r="G241" t="s">
        <v>11</v>
      </c>
      <c r="H241" s="1" t="str">
        <f>HYPERLINK("http://apps.fcc.gov/ecfs/document/view?id=7520944138","  (33 pages)")</f>
        <v>  (33 pages)</v>
      </c>
    </row>
    <row r="242" spans="1:8" ht="12.75">
      <c r="A242" t="s">
        <v>6</v>
      </c>
      <c r="B242" t="s">
        <v>202</v>
      </c>
      <c r="D242" t="s">
        <v>9</v>
      </c>
      <c r="E242" t="s">
        <v>9</v>
      </c>
      <c r="F242" t="s">
        <v>10</v>
      </c>
      <c r="G242" t="s">
        <v>11</v>
      </c>
      <c r="H242" s="1" t="str">
        <f>HYPERLINK("http://apps.fcc.gov/ecfs/document/view?id=7520944214","  (1 page)")</f>
        <v>  (1 page)</v>
      </c>
    </row>
    <row r="243" spans="1:8" ht="12.75">
      <c r="A243" t="s">
        <v>6</v>
      </c>
      <c r="B243" t="s">
        <v>203</v>
      </c>
      <c r="D243" t="s">
        <v>9</v>
      </c>
      <c r="E243" t="s">
        <v>9</v>
      </c>
      <c r="F243" t="s">
        <v>10</v>
      </c>
      <c r="G243" t="s">
        <v>11</v>
      </c>
      <c r="H243" s="1" t="str">
        <f>HYPERLINK("http://apps.fcc.gov/ecfs/document/view?id=7520944231","  (1 page)")</f>
        <v>  (1 page)</v>
      </c>
    </row>
    <row r="244" spans="1:8" ht="12.75">
      <c r="A244" t="s">
        <v>6</v>
      </c>
      <c r="B244" t="s">
        <v>204</v>
      </c>
      <c r="D244" t="s">
        <v>21</v>
      </c>
      <c r="E244" t="s">
        <v>9</v>
      </c>
      <c r="F244" t="s">
        <v>10</v>
      </c>
      <c r="G244" t="s">
        <v>11</v>
      </c>
      <c r="H244" s="1" t="str">
        <f>HYPERLINK("http://apps.fcc.gov/ecfs/document/view?id=7520943976","SafeLibraries Comment (69 pages)")</f>
        <v>SafeLibraries Comment (69 pages)</v>
      </c>
    </row>
    <row r="245" spans="1:8" ht="12.75">
      <c r="A245" t="s">
        <v>6</v>
      </c>
      <c r="B245" t="s">
        <v>205</v>
      </c>
      <c r="D245" t="s">
        <v>9</v>
      </c>
      <c r="E245" t="s">
        <v>9</v>
      </c>
      <c r="F245" t="s">
        <v>10</v>
      </c>
      <c r="G245" t="s">
        <v>11</v>
      </c>
      <c r="H245" s="1" t="str">
        <f>HYPERLINK("http://apps.fcc.gov/ecfs/document/view?id=7520944222","  (2 pages)")</f>
        <v>  (2 pages)</v>
      </c>
    </row>
    <row r="246" spans="1:8" ht="12.75">
      <c r="A246" t="s">
        <v>6</v>
      </c>
      <c r="B246" t="s">
        <v>206</v>
      </c>
      <c r="D246" t="s">
        <v>21</v>
      </c>
      <c r="E246" t="s">
        <v>9</v>
      </c>
      <c r="F246" t="s">
        <v>10</v>
      </c>
      <c r="G246" t="s">
        <v>11</v>
      </c>
      <c r="H246" s="1" t="str">
        <f>HYPERLINK("http://apps.fcc.gov/ecfs/document/view?id=7520944096","Mecosta Osceola (1 page)")</f>
        <v>Mecosta Osceola (1 page)</v>
      </c>
    </row>
    <row r="247" spans="1:8" ht="12.75">
      <c r="A247" t="s">
        <v>6</v>
      </c>
      <c r="B247" t="s">
        <v>207</v>
      </c>
      <c r="D247" t="s">
        <v>21</v>
      </c>
      <c r="E247" t="s">
        <v>9</v>
      </c>
      <c r="F247" t="s">
        <v>10</v>
      </c>
      <c r="G247" t="s">
        <v>11</v>
      </c>
      <c r="H247" s="1" t="str">
        <f>HYPERLINK("http://apps.fcc.gov/ecfs/document/view?id=7520943937","Comments from Crispus Attucks YouthBuild Charter School (3 pages)")</f>
        <v>Comments from Crispus Attucks YouthBuild Charter School (3 pages)</v>
      </c>
    </row>
    <row r="248" spans="1:8" ht="12.75">
      <c r="A248" t="s">
        <v>6</v>
      </c>
      <c r="B248" t="s">
        <v>208</v>
      </c>
      <c r="D248" t="s">
        <v>21</v>
      </c>
      <c r="E248" t="s">
        <v>9</v>
      </c>
      <c r="F248" t="s">
        <v>10</v>
      </c>
      <c r="G248" t="s">
        <v>11</v>
      </c>
      <c r="H248" s="1" t="str">
        <f>HYPERLINK("http://apps.fcc.gov/ecfs/document/view?id=7520944014","  (17 pages)")</f>
        <v>  (17 pages)</v>
      </c>
    </row>
    <row r="249" spans="1:8" ht="12.75">
      <c r="A249" t="s">
        <v>6</v>
      </c>
      <c r="B249" t="s">
        <v>209</v>
      </c>
      <c r="D249" t="s">
        <v>21</v>
      </c>
      <c r="E249" t="s">
        <v>9</v>
      </c>
      <c r="F249" t="s">
        <v>10</v>
      </c>
      <c r="G249" t="s">
        <v>11</v>
      </c>
      <c r="H249" s="1" t="str">
        <f>HYPERLINK("http://apps.fcc.gov/ecfs/document/view?id=7520944011","  (37 pages)")</f>
        <v>  (37 pages)</v>
      </c>
    </row>
    <row r="250" spans="1:8" ht="12.75">
      <c r="A250" t="s">
        <v>6</v>
      </c>
      <c r="B250" t="s">
        <v>210</v>
      </c>
      <c r="D250" t="s">
        <v>21</v>
      </c>
      <c r="E250" t="s">
        <v>9</v>
      </c>
      <c r="F250" t="s">
        <v>10</v>
      </c>
      <c r="G250" t="s">
        <v>11</v>
      </c>
      <c r="H250" s="1" t="str">
        <f>HYPERLINK("http://apps.fcc.gov/ecfs/document/view?id=7520944093","  (14 pages)")</f>
        <v>  (14 pages)</v>
      </c>
    </row>
    <row r="251" spans="1:8" ht="12.75">
      <c r="A251" t="s">
        <v>6</v>
      </c>
      <c r="B251" t="s">
        <v>211</v>
      </c>
      <c r="D251" t="s">
        <v>21</v>
      </c>
      <c r="E251" t="s">
        <v>9</v>
      </c>
      <c r="F251" t="s">
        <v>10</v>
      </c>
      <c r="G251" t="s">
        <v>11</v>
      </c>
      <c r="H251" s="1" t="str">
        <f>HYPERLINK("http://apps.fcc.gov/ecfs/document/view?id=7520944007","  (7 pages)")</f>
        <v>  (7 pages)</v>
      </c>
    </row>
    <row r="252" spans="1:8" ht="12.75">
      <c r="A252" t="s">
        <v>6</v>
      </c>
      <c r="B252" t="s">
        <v>212</v>
      </c>
      <c r="D252" t="s">
        <v>21</v>
      </c>
      <c r="E252" t="s">
        <v>9</v>
      </c>
      <c r="F252" t="s">
        <v>10</v>
      </c>
      <c r="G252" t="s">
        <v>11</v>
      </c>
      <c r="H252" s="1" t="str">
        <f>HYPERLINK("http://apps.fcc.gov/ecfs/document/view?id=7520944020","  (51 pages)")</f>
        <v>  (51 pages)</v>
      </c>
    </row>
    <row r="253" spans="1:8" ht="12.75">
      <c r="A253" t="s">
        <v>6</v>
      </c>
      <c r="B253" t="s">
        <v>213</v>
      </c>
      <c r="C253" t="s">
        <v>214</v>
      </c>
      <c r="D253" t="s">
        <v>21</v>
      </c>
      <c r="E253" t="s">
        <v>9</v>
      </c>
      <c r="F253" t="s">
        <v>10</v>
      </c>
      <c r="G253" t="s">
        <v>11</v>
      </c>
      <c r="H253" s="1" t="str">
        <f>HYPERLINK("http://apps.fcc.gov/ecfs/document/view?id=7520943923","  (3 pages)")</f>
        <v>  (3 pages)</v>
      </c>
    </row>
    <row r="254" spans="1:8" ht="12.75">
      <c r="A254" t="s">
        <v>6</v>
      </c>
      <c r="B254" t="s">
        <v>215</v>
      </c>
      <c r="D254" t="s">
        <v>21</v>
      </c>
      <c r="E254" t="s">
        <v>9</v>
      </c>
      <c r="F254" t="s">
        <v>10</v>
      </c>
      <c r="G254" t="s">
        <v>11</v>
      </c>
      <c r="H254" s="1" t="str">
        <f>HYPERLINK("http://apps.fcc.gov/ecfs/document/view?id=7520944053","  (5 pages)")</f>
        <v>  (5 pages)</v>
      </c>
    </row>
    <row r="255" spans="1:8" ht="12.75">
      <c r="A255" t="s">
        <v>6</v>
      </c>
      <c r="B255" t="s">
        <v>216</v>
      </c>
      <c r="D255" t="s">
        <v>21</v>
      </c>
      <c r="E255" t="s">
        <v>9</v>
      </c>
      <c r="F255" t="s">
        <v>10</v>
      </c>
      <c r="G255" t="s">
        <v>11</v>
      </c>
      <c r="H255" s="1" t="str">
        <f>HYPERLINK("http://apps.fcc.gov/ecfs/document/view?id=7520944013","Clark County School District Response (28 pages)")</f>
        <v>Clark County School District Response (28 pages)</v>
      </c>
    </row>
    <row r="256" spans="1:8" ht="12.75">
      <c r="A256" t="s">
        <v>6</v>
      </c>
      <c r="B256" t="s">
        <v>217</v>
      </c>
      <c r="D256" t="s">
        <v>21</v>
      </c>
      <c r="E256" t="s">
        <v>9</v>
      </c>
      <c r="F256" t="s">
        <v>10</v>
      </c>
      <c r="G256" t="s">
        <v>11</v>
      </c>
      <c r="H256" s="1" t="str">
        <f>HYPERLINK("http://apps.fcc.gov/ecfs/document/view?id=7520943948","  (13 pages)")</f>
        <v>  (13 pages)</v>
      </c>
    </row>
    <row r="257" spans="1:8" ht="12.75">
      <c r="A257" t="s">
        <v>6</v>
      </c>
      <c r="B257" t="s">
        <v>218</v>
      </c>
      <c r="C257" t="s">
        <v>219</v>
      </c>
      <c r="D257" t="s">
        <v>21</v>
      </c>
      <c r="E257" t="s">
        <v>9</v>
      </c>
      <c r="F257" t="s">
        <v>10</v>
      </c>
      <c r="G257" t="s">
        <v>11</v>
      </c>
      <c r="H257" s="1" t="str">
        <f>HYPERLINK("http://apps.fcc.gov/ecfs/document/view?id=7520943957","  (10 pages)")</f>
        <v>  (10 pages)</v>
      </c>
    </row>
    <row r="258" spans="1:8" ht="12.75">
      <c r="A258" t="s">
        <v>6</v>
      </c>
      <c r="B258" t="s">
        <v>220</v>
      </c>
      <c r="D258" t="s">
        <v>21</v>
      </c>
      <c r="E258" t="s">
        <v>9</v>
      </c>
      <c r="F258" t="s">
        <v>10</v>
      </c>
      <c r="G258" t="s">
        <v>11</v>
      </c>
      <c r="H258" s="1" t="str">
        <f>HYPERLINK("http://apps.fcc.gov/ecfs/document/view?id=7520944003","  (76 pages)")</f>
        <v>  (76 pages)</v>
      </c>
    </row>
    <row r="259" spans="1:8" ht="12.75">
      <c r="A259" t="s">
        <v>6</v>
      </c>
      <c r="B259" t="s">
        <v>221</v>
      </c>
      <c r="D259" t="s">
        <v>21</v>
      </c>
      <c r="E259" t="s">
        <v>9</v>
      </c>
      <c r="F259" t="s">
        <v>10</v>
      </c>
      <c r="G259" t="s">
        <v>11</v>
      </c>
      <c r="H259" s="1" t="str">
        <f>HYPERLINK("http://apps.fcc.gov/ecfs/document/view?id=7520944076","  (2 pages)")</f>
        <v>  (2 pages)</v>
      </c>
    </row>
    <row r="260" spans="1:8" ht="12.75">
      <c r="A260" t="s">
        <v>6</v>
      </c>
      <c r="B260" t="s">
        <v>222</v>
      </c>
      <c r="D260" t="s">
        <v>9</v>
      </c>
      <c r="E260" t="s">
        <v>9</v>
      </c>
      <c r="F260" t="s">
        <v>10</v>
      </c>
      <c r="G260" t="s">
        <v>11</v>
      </c>
      <c r="H260" s="1" t="str">
        <f>HYPERLINK("http://apps.fcc.gov/ecfs/document/view?id=7520944224","  (1 page)")</f>
        <v>  (1 page)</v>
      </c>
    </row>
    <row r="261" spans="1:8" ht="12.75">
      <c r="A261" t="s">
        <v>6</v>
      </c>
      <c r="B261" t="s">
        <v>223</v>
      </c>
      <c r="D261" t="s">
        <v>21</v>
      </c>
      <c r="E261" t="s">
        <v>9</v>
      </c>
      <c r="F261" t="s">
        <v>10</v>
      </c>
      <c r="G261" t="s">
        <v>11</v>
      </c>
      <c r="H261" s="1" t="str">
        <f>HYPERLINK("http://apps.fcc.gov/ecfs/document/view?id=7520943986"," (1 page)")</f>
        <v> (1 page)</v>
      </c>
    </row>
    <row r="262" spans="1:8" ht="12.75">
      <c r="A262" t="s">
        <v>6</v>
      </c>
      <c r="B262" t="s">
        <v>224</v>
      </c>
      <c r="D262" t="s">
        <v>9</v>
      </c>
      <c r="E262" t="s">
        <v>9</v>
      </c>
      <c r="F262" t="s">
        <v>10</v>
      </c>
      <c r="G262" t="s">
        <v>11</v>
      </c>
      <c r="H262" s="1" t="str">
        <f>HYPERLINK("http://apps.fcc.gov/ecfs/document/view?id=7520944255","  (1 page)")</f>
        <v>  (1 page)</v>
      </c>
    </row>
    <row r="263" spans="1:8" ht="12.75">
      <c r="A263" t="s">
        <v>6</v>
      </c>
      <c r="B263" t="s">
        <v>225</v>
      </c>
      <c r="D263" t="s">
        <v>21</v>
      </c>
      <c r="E263" t="s">
        <v>9</v>
      </c>
      <c r="F263" t="s">
        <v>10</v>
      </c>
      <c r="G263" t="s">
        <v>11</v>
      </c>
      <c r="H263" s="1" t="str">
        <f>HYPERLINK("http://apps.fcc.gov/ecfs/document/view?id=7520944131","Comments in Response to the Notice of Proposed Rulemaking (8 pages)")</f>
        <v>Comments in Response to the Notice of Proposed Rulemaking (8 pages)</v>
      </c>
    </row>
    <row r="264" spans="1:8" ht="12.75">
      <c r="A264" t="s">
        <v>6</v>
      </c>
      <c r="B264" t="s">
        <v>226</v>
      </c>
      <c r="D264" t="s">
        <v>21</v>
      </c>
      <c r="E264" t="s">
        <v>9</v>
      </c>
      <c r="F264" t="s">
        <v>10</v>
      </c>
      <c r="G264" t="s">
        <v>11</v>
      </c>
      <c r="H264" s="1" t="str">
        <f>HYPERLINK("http://apps.fcc.gov/ecfs/document/view?id=7520944000","  (40 pages)")</f>
        <v>  (40 pages)</v>
      </c>
    </row>
    <row r="265" spans="1:8" ht="12.75">
      <c r="A265" t="s">
        <v>6</v>
      </c>
      <c r="B265" t="s">
        <v>227</v>
      </c>
      <c r="D265" t="s">
        <v>21</v>
      </c>
      <c r="E265" t="s">
        <v>9</v>
      </c>
      <c r="F265" t="s">
        <v>10</v>
      </c>
      <c r="G265" t="s">
        <v>11</v>
      </c>
      <c r="H265" s="1" t="str">
        <f>HYPERLINK("http://apps.fcc.gov/ecfs/document/view?id=7520944124","  (2 pages)")</f>
        <v>  (2 pages)</v>
      </c>
    </row>
    <row r="266" spans="1:8" ht="12.75">
      <c r="A266" t="s">
        <v>6</v>
      </c>
      <c r="B266" t="s">
        <v>228</v>
      </c>
      <c r="D266" t="s">
        <v>21</v>
      </c>
      <c r="E266" t="s">
        <v>9</v>
      </c>
      <c r="F266" t="s">
        <v>10</v>
      </c>
      <c r="G266" t="s">
        <v>11</v>
      </c>
      <c r="H266" s="1" t="str">
        <f>HYPERLINK("http://apps.fcc.gov/ecfs/document/view?id=7520944040","  (4 pages)")</f>
        <v>  (4 pages)</v>
      </c>
    </row>
    <row r="267" spans="1:8" ht="12.75">
      <c r="A267" t="s">
        <v>6</v>
      </c>
      <c r="B267" t="s">
        <v>229</v>
      </c>
      <c r="D267" t="s">
        <v>21</v>
      </c>
      <c r="E267" t="s">
        <v>9</v>
      </c>
      <c r="F267" t="s">
        <v>10</v>
      </c>
      <c r="G267" t="s">
        <v>11</v>
      </c>
      <c r="H267" s="1" t="str">
        <f>HYPERLINK("http://apps.fcc.gov/ecfs/document/view?id=7520944080","  (5 pages)")</f>
        <v>  (5 pages)</v>
      </c>
    </row>
    <row r="268" spans="1:8" ht="12.75">
      <c r="A268" t="s">
        <v>6</v>
      </c>
      <c r="B268" t="s">
        <v>230</v>
      </c>
      <c r="D268" t="s">
        <v>21</v>
      </c>
      <c r="E268" t="s">
        <v>9</v>
      </c>
      <c r="F268" t="s">
        <v>10</v>
      </c>
      <c r="G268" t="s">
        <v>11</v>
      </c>
      <c r="H268" s="1" t="str">
        <f>HYPERLINK("http://apps.fcc.gov/ecfs/document/view?id=7520944156","  (17 pages)")</f>
        <v>  (17 pages)</v>
      </c>
    </row>
    <row r="269" spans="1:8" ht="12.75">
      <c r="A269" t="s">
        <v>6</v>
      </c>
      <c r="B269" t="s">
        <v>231</v>
      </c>
      <c r="D269" t="s">
        <v>21</v>
      </c>
      <c r="E269" t="s">
        <v>9</v>
      </c>
      <c r="F269" t="s">
        <v>10</v>
      </c>
      <c r="G269" t="s">
        <v>11</v>
      </c>
      <c r="H269" s="1" t="str">
        <f>HYPERLINK("http://apps.fcc.gov/ecfs/document/view?id=7520943955","  (15 pages)")</f>
        <v>  (15 pages)</v>
      </c>
    </row>
    <row r="270" spans="1:9" ht="12.75">
      <c r="A270" t="s">
        <v>6</v>
      </c>
      <c r="B270" t="s">
        <v>232</v>
      </c>
      <c r="D270" t="s">
        <v>21</v>
      </c>
      <c r="E270" t="s">
        <v>9</v>
      </c>
      <c r="F270" t="s">
        <v>10</v>
      </c>
      <c r="G270" t="s">
        <v>11</v>
      </c>
      <c r="H270" s="1" t="str">
        <f>HYPERLINK("http://apps.fcc.gov/ecfs/document/view?id=7520944085","CSM Inc Initial NPRM Comments (35 pages)")</f>
        <v>CSM Inc Initial NPRM Comments (35 pages)</v>
      </c>
      <c r="I270" s="1" t="str">
        <f>HYPERLINK("http://apps.fcc.gov/ecfs/document/view?id=7520944086","Appendix A (14 pages)")</f>
        <v>Appendix A (14 pages)</v>
      </c>
    </row>
    <row r="271" spans="1:8" ht="12.75">
      <c r="A271" t="s">
        <v>6</v>
      </c>
      <c r="B271" t="s">
        <v>233</v>
      </c>
      <c r="C271" t="s">
        <v>234</v>
      </c>
      <c r="D271" t="s">
        <v>21</v>
      </c>
      <c r="E271" t="s">
        <v>9</v>
      </c>
      <c r="F271" t="s">
        <v>10</v>
      </c>
      <c r="G271" t="s">
        <v>11</v>
      </c>
      <c r="H271" s="1" t="str">
        <f>HYPERLINK("http://apps.fcc.gov/ecfs/document/view?id=7520943936","  (7 pages)")</f>
        <v>  (7 pages)</v>
      </c>
    </row>
    <row r="272" spans="1:8" ht="12.75">
      <c r="A272" t="s">
        <v>6</v>
      </c>
      <c r="B272" t="s">
        <v>235</v>
      </c>
      <c r="D272" t="s">
        <v>9</v>
      </c>
      <c r="E272" t="s">
        <v>9</v>
      </c>
      <c r="F272" t="s">
        <v>10</v>
      </c>
      <c r="G272" t="s">
        <v>11</v>
      </c>
      <c r="H272" s="1" t="str">
        <f>HYPERLINK("http://apps.fcc.gov/ecfs/document/view?id=7520944196","  (5 pages)")</f>
        <v>  (5 pages)</v>
      </c>
    </row>
    <row r="273" spans="1:8" ht="12.75">
      <c r="A273" t="s">
        <v>6</v>
      </c>
      <c r="B273" t="s">
        <v>236</v>
      </c>
      <c r="D273" t="s">
        <v>21</v>
      </c>
      <c r="E273" t="s">
        <v>9</v>
      </c>
      <c r="F273" t="s">
        <v>10</v>
      </c>
      <c r="G273" t="s">
        <v>11</v>
      </c>
      <c r="H273" s="1" t="str">
        <f>HYPERLINK("http://apps.fcc.gov/ecfs/document/view?id=7520944042","  (3 pages)")</f>
        <v>  (3 pages)</v>
      </c>
    </row>
    <row r="274" spans="1:8" ht="12.75">
      <c r="A274" t="s">
        <v>6</v>
      </c>
      <c r="B274" t="s">
        <v>237</v>
      </c>
      <c r="D274" t="s">
        <v>9</v>
      </c>
      <c r="E274" t="s">
        <v>9</v>
      </c>
      <c r="F274" t="s">
        <v>10</v>
      </c>
      <c r="G274" t="s">
        <v>11</v>
      </c>
      <c r="H274" s="1" t="str">
        <f>HYPERLINK("http://apps.fcc.gov/ecfs/document/view?id=7520944157","  (5 pages)")</f>
        <v>  (5 pages)</v>
      </c>
    </row>
    <row r="275" spans="1:8" ht="12.75">
      <c r="A275" t="s">
        <v>6</v>
      </c>
      <c r="B275" t="s">
        <v>238</v>
      </c>
      <c r="D275" t="s">
        <v>21</v>
      </c>
      <c r="E275" t="s">
        <v>9</v>
      </c>
      <c r="F275" t="s">
        <v>10</v>
      </c>
      <c r="G275" t="s">
        <v>11</v>
      </c>
      <c r="H275" s="1" t="str">
        <f>HYPERLINK("http://apps.fcc.gov/ecfs/document/view?id=7520944008","Bureau of Indian Affairs Education Comments (12 pages)")</f>
        <v>Bureau of Indian Affairs Education Comments (12 pages)</v>
      </c>
    </row>
    <row r="276" spans="1:8" ht="12.75">
      <c r="A276" t="s">
        <v>6</v>
      </c>
      <c r="B276" t="s">
        <v>239</v>
      </c>
      <c r="D276" t="s">
        <v>9</v>
      </c>
      <c r="E276" t="s">
        <v>9</v>
      </c>
      <c r="F276" t="s">
        <v>10</v>
      </c>
      <c r="G276" t="s">
        <v>11</v>
      </c>
      <c r="H276" s="1" t="str">
        <f>HYPERLINK("http://apps.fcc.gov/ecfs/document/view?id=7520944241","  (2 pages)")</f>
        <v>  (2 pages)</v>
      </c>
    </row>
    <row r="277" spans="1:8" ht="12.75">
      <c r="A277" t="s">
        <v>6</v>
      </c>
      <c r="B277" t="s">
        <v>240</v>
      </c>
      <c r="D277" t="s">
        <v>21</v>
      </c>
      <c r="E277" t="s">
        <v>9</v>
      </c>
      <c r="F277" t="s">
        <v>10</v>
      </c>
      <c r="G277" t="s">
        <v>11</v>
      </c>
      <c r="H277" s="1" t="str">
        <f>HYPERLINK("http://apps.fcc.gov/ecfs/document/view?id=7520944121","  (2 pages)")</f>
        <v>  (2 pages)</v>
      </c>
    </row>
    <row r="278" spans="1:8" ht="12.75">
      <c r="A278" t="s">
        <v>6</v>
      </c>
      <c r="B278" t="s">
        <v>241</v>
      </c>
      <c r="D278" t="s">
        <v>9</v>
      </c>
      <c r="E278" t="s">
        <v>9</v>
      </c>
      <c r="F278" t="s">
        <v>10</v>
      </c>
      <c r="G278" t="s">
        <v>11</v>
      </c>
      <c r="H278" s="1" t="str">
        <f>HYPERLINK("http://apps.fcc.gov/ecfs/document/view?id=7520944212","  (1 page)")</f>
        <v>  (1 page)</v>
      </c>
    </row>
    <row r="279" spans="1:8" ht="12.75">
      <c r="A279" t="s">
        <v>6</v>
      </c>
      <c r="B279" t="s">
        <v>242</v>
      </c>
      <c r="D279" t="s">
        <v>21</v>
      </c>
      <c r="E279" t="s">
        <v>9</v>
      </c>
      <c r="F279" t="s">
        <v>10</v>
      </c>
      <c r="G279" t="s">
        <v>11</v>
      </c>
      <c r="H279" s="1" t="str">
        <f>HYPERLINK("http://apps.fcc.gov/ecfs/document/view?id=7520944128","  (2 pages)")</f>
        <v>  (2 pages)</v>
      </c>
    </row>
    <row r="280" spans="1:9" ht="12.75">
      <c r="A280" t="s">
        <v>6</v>
      </c>
      <c r="B280" t="s">
        <v>243</v>
      </c>
      <c r="D280" t="s">
        <v>21</v>
      </c>
      <c r="E280" t="s">
        <v>9</v>
      </c>
      <c r="F280" t="s">
        <v>10</v>
      </c>
      <c r="G280" t="s">
        <v>11</v>
      </c>
      <c r="H280" s="1" t="str">
        <f>HYPERLINK("http://apps.fcc.gov/ecfs/document/view?id=7520943864","  (5 pages)")</f>
        <v>  (5 pages)</v>
      </c>
      <c r="I280" s="1" t="str">
        <f>HYPERLINK("http://apps.fcc.gov/ecfs/document/view?id=7520943867","  (5 pages)")</f>
        <v>  (5 pages)</v>
      </c>
    </row>
    <row r="281" spans="1:8" ht="12.75">
      <c r="A281" t="s">
        <v>6</v>
      </c>
      <c r="B281" t="s">
        <v>244</v>
      </c>
      <c r="D281" t="s">
        <v>21</v>
      </c>
      <c r="E281" t="s">
        <v>9</v>
      </c>
      <c r="F281" t="s">
        <v>10</v>
      </c>
      <c r="G281" t="s">
        <v>11</v>
      </c>
      <c r="H281" s="1" t="str">
        <f>HYPERLINK("http://apps.fcc.gov/ecfs/document/view?id=7520944142","  (14 pages)")</f>
        <v>  (14 pages)</v>
      </c>
    </row>
    <row r="282" spans="1:8" ht="12.75">
      <c r="A282" t="s">
        <v>6</v>
      </c>
      <c r="B282" t="s">
        <v>245</v>
      </c>
      <c r="D282" t="s">
        <v>21</v>
      </c>
      <c r="E282" t="s">
        <v>9</v>
      </c>
      <c r="F282" t="s">
        <v>10</v>
      </c>
      <c r="G282" t="s">
        <v>11</v>
      </c>
      <c r="H282" s="1" t="str">
        <f>HYPERLINK("http://apps.fcc.gov/ecfs/document/view?id=7520944103","  (2 pages)")</f>
        <v>  (2 pages)</v>
      </c>
    </row>
    <row r="283" spans="1:8" ht="12.75">
      <c r="A283" t="s">
        <v>6</v>
      </c>
      <c r="B283" t="s">
        <v>246</v>
      </c>
      <c r="D283" t="s">
        <v>9</v>
      </c>
      <c r="E283" t="s">
        <v>9</v>
      </c>
      <c r="F283" t="s">
        <v>10</v>
      </c>
      <c r="G283" t="s">
        <v>11</v>
      </c>
      <c r="H283" s="1" t="str">
        <f>HYPERLINK("http://apps.fcc.gov/ecfs/document/view?id=7520944245","  (1 page)")</f>
        <v>  (1 page)</v>
      </c>
    </row>
    <row r="284" spans="1:8" ht="12.75">
      <c r="A284" t="s">
        <v>6</v>
      </c>
      <c r="B284" t="s">
        <v>247</v>
      </c>
      <c r="D284" t="s">
        <v>21</v>
      </c>
      <c r="E284" t="s">
        <v>9</v>
      </c>
      <c r="F284" t="s">
        <v>10</v>
      </c>
      <c r="G284" t="s">
        <v>11</v>
      </c>
      <c r="H284" s="1" t="str">
        <f>HYPERLINK("http://apps.fcc.gov/ecfs/document/view?id=7520944066","Comments on WC Docket No 13 184 (4 pages)")</f>
        <v>Comments on WC Docket No 13 184 (4 pages)</v>
      </c>
    </row>
    <row r="285" spans="1:8" ht="12.75">
      <c r="A285" t="s">
        <v>6</v>
      </c>
      <c r="B285" t="s">
        <v>248</v>
      </c>
      <c r="D285" t="s">
        <v>9</v>
      </c>
      <c r="E285" t="s">
        <v>9</v>
      </c>
      <c r="F285" t="s">
        <v>10</v>
      </c>
      <c r="G285" t="s">
        <v>11</v>
      </c>
      <c r="H285" s="1" t="str">
        <f>HYPERLINK("http://apps.fcc.gov/ecfs/document/view?id=7520944216","  (1 page)")</f>
        <v>  (1 page)</v>
      </c>
    </row>
    <row r="286" spans="1:8" ht="12.75">
      <c r="A286" t="s">
        <v>6</v>
      </c>
      <c r="B286" t="s">
        <v>249</v>
      </c>
      <c r="D286" t="s">
        <v>21</v>
      </c>
      <c r="E286" t="s">
        <v>9</v>
      </c>
      <c r="F286" t="s">
        <v>10</v>
      </c>
      <c r="G286" t="s">
        <v>11</v>
      </c>
      <c r="H286" s="1" t="str">
        <f>HYPERLINK("http://apps.fcc.gov/ecfs/document/view?id=7520943881","  (2 pages)")</f>
        <v>  (2 pages)</v>
      </c>
    </row>
    <row r="287" spans="1:8" ht="12.75">
      <c r="A287" t="s">
        <v>6</v>
      </c>
      <c r="B287" t="s">
        <v>250</v>
      </c>
      <c r="D287" t="s">
        <v>21</v>
      </c>
      <c r="E287" t="s">
        <v>9</v>
      </c>
      <c r="F287" t="s">
        <v>10</v>
      </c>
      <c r="G287" t="s">
        <v>11</v>
      </c>
      <c r="H287" s="1" t="str">
        <f>HYPERLINK("http://apps.fcc.gov/ecfs/document/view?id=7520943871","  (1 page)")</f>
        <v>  (1 page)</v>
      </c>
    </row>
    <row r="288" spans="1:8" ht="12.75">
      <c r="A288" t="s">
        <v>6</v>
      </c>
      <c r="B288" t="s">
        <v>251</v>
      </c>
      <c r="D288" t="s">
        <v>21</v>
      </c>
      <c r="E288" t="s">
        <v>9</v>
      </c>
      <c r="F288" t="s">
        <v>10</v>
      </c>
      <c r="G288" t="s">
        <v>11</v>
      </c>
      <c r="H288" s="1" t="str">
        <f>HYPERLINK("http://apps.fcc.gov/ecfs/document/view?id=7520944113","  (1 page)")</f>
        <v>  (1 page)</v>
      </c>
    </row>
    <row r="289" spans="1:8" ht="12.75">
      <c r="A289" t="s">
        <v>6</v>
      </c>
      <c r="B289" t="s">
        <v>252</v>
      </c>
      <c r="D289" t="s">
        <v>9</v>
      </c>
      <c r="E289" t="s">
        <v>9</v>
      </c>
      <c r="F289" t="s">
        <v>10</v>
      </c>
      <c r="G289" t="s">
        <v>11</v>
      </c>
      <c r="H289" s="1" t="str">
        <f>HYPERLINK("http://apps.fcc.gov/ecfs/document/view?id=7520944251","  (1 page)")</f>
        <v>  (1 page)</v>
      </c>
    </row>
    <row r="290" spans="1:8" ht="12.75">
      <c r="A290" t="s">
        <v>6</v>
      </c>
      <c r="B290" t="s">
        <v>253</v>
      </c>
      <c r="C290" t="s">
        <v>254</v>
      </c>
      <c r="D290" t="s">
        <v>21</v>
      </c>
      <c r="E290" t="s">
        <v>9</v>
      </c>
      <c r="F290" t="s">
        <v>10</v>
      </c>
      <c r="G290" t="s">
        <v>11</v>
      </c>
      <c r="H290" s="1" t="str">
        <f>HYPERLINK("http://apps.fcc.gov/ecfs/document/view?id=7520944072","  (15 pages)")</f>
        <v>  (15 pages)</v>
      </c>
    </row>
    <row r="291" spans="1:8" ht="12.75">
      <c r="A291" t="s">
        <v>6</v>
      </c>
      <c r="B291" t="s">
        <v>255</v>
      </c>
      <c r="D291" t="s">
        <v>21</v>
      </c>
      <c r="E291" t="s">
        <v>9</v>
      </c>
      <c r="F291" t="s">
        <v>10</v>
      </c>
      <c r="G291" t="s">
        <v>11</v>
      </c>
      <c r="H291" s="1" t="str">
        <f>HYPERLINK("http://apps.fcc.gov/ecfs/document/view?id=7520943905","Erate NPRM (10 pages)")</f>
        <v>Erate NPRM (10 pages)</v>
      </c>
    </row>
    <row r="292" spans="1:8" ht="12.75">
      <c r="A292" t="s">
        <v>6</v>
      </c>
      <c r="B292" t="s">
        <v>256</v>
      </c>
      <c r="D292" t="s">
        <v>21</v>
      </c>
      <c r="E292" t="s">
        <v>9</v>
      </c>
      <c r="F292" t="s">
        <v>10</v>
      </c>
      <c r="G292" t="s">
        <v>11</v>
      </c>
      <c r="H292" s="1" t="str">
        <f>HYPERLINK("http://apps.fcc.gov/ecfs/document/view?id=7520944024","  (32 pages)")</f>
        <v>  (32 pages)</v>
      </c>
    </row>
    <row r="293" spans="1:8" ht="12.75">
      <c r="A293" t="s">
        <v>6</v>
      </c>
      <c r="B293" t="s">
        <v>257</v>
      </c>
      <c r="C293" t="s">
        <v>258</v>
      </c>
      <c r="D293" t="s">
        <v>21</v>
      </c>
      <c r="E293" t="s">
        <v>9</v>
      </c>
      <c r="F293" t="s">
        <v>10</v>
      </c>
      <c r="G293" t="s">
        <v>11</v>
      </c>
      <c r="H293" s="1" t="str">
        <f>HYPERLINK("http://apps.fcc.gov/ecfs/document/view?id=7520943994","  (22 pages)")</f>
        <v>  (22 pages)</v>
      </c>
    </row>
    <row r="294" spans="1:8" ht="12.75">
      <c r="A294" t="s">
        <v>6</v>
      </c>
      <c r="B294" t="s">
        <v>259</v>
      </c>
      <c r="D294" t="s">
        <v>21</v>
      </c>
      <c r="E294" t="s">
        <v>9</v>
      </c>
      <c r="F294" t="s">
        <v>10</v>
      </c>
      <c r="G294" t="s">
        <v>11</v>
      </c>
      <c r="H294" s="1" t="str">
        <f>HYPERLINK("http://apps.fcc.gov/ecfs/document/view?id=7520944057","Letter calling to modernize simplify and expand E rate (3 pages)")</f>
        <v>Letter calling to modernize simplify and expand E rate (3 pages)</v>
      </c>
    </row>
    <row r="295" spans="1:8" ht="12.75">
      <c r="A295" t="s">
        <v>6</v>
      </c>
      <c r="B295" t="s">
        <v>260</v>
      </c>
      <c r="D295" t="s">
        <v>21</v>
      </c>
      <c r="E295" t="s">
        <v>9</v>
      </c>
      <c r="F295" t="s">
        <v>10</v>
      </c>
      <c r="G295" t="s">
        <v>11</v>
      </c>
      <c r="H295" s="1" t="str">
        <f>HYPERLINK("http://apps.fcc.gov/ecfs/document/view?id=7520944022","Comments received during the Alliance for Excellent Education E rate 99 in 5 Pet (105 pages)")</f>
        <v>Comments received during the Alliance for Excellent Education E rate 99 in 5 Pet (105 pages)</v>
      </c>
    </row>
    <row r="296" spans="1:8" ht="12.75">
      <c r="A296" t="s">
        <v>6</v>
      </c>
      <c r="B296" t="s">
        <v>260</v>
      </c>
      <c r="D296" t="s">
        <v>21</v>
      </c>
      <c r="E296" t="s">
        <v>9</v>
      </c>
      <c r="F296" t="s">
        <v>10</v>
      </c>
      <c r="G296" t="s">
        <v>11</v>
      </c>
      <c r="H296" s="1" t="str">
        <f>HYPERLINK("http://apps.fcc.gov/ecfs/document/view?id=7520943933","Individuals who signed the Alliance for Excellent Education 99 in 5 Petition on (53 pages)")</f>
        <v>Individuals who signed the Alliance for Excellent Education 99 in 5 Petition on (53 pages)</v>
      </c>
    </row>
    <row r="297" spans="1:8" ht="12.75">
      <c r="A297" t="s">
        <v>6</v>
      </c>
      <c r="B297" t="s">
        <v>261</v>
      </c>
      <c r="D297" t="s">
        <v>21</v>
      </c>
      <c r="E297" t="s">
        <v>9</v>
      </c>
      <c r="F297" t="s">
        <v>10</v>
      </c>
      <c r="G297" t="s">
        <v>11</v>
      </c>
      <c r="H297" s="1" t="str">
        <f>HYPERLINK("http://apps.fcc.gov/ecfs/document/view?id=7520944126","  (2 pages)")</f>
        <v>  (2 pages)</v>
      </c>
    </row>
    <row r="298" spans="1:8" ht="12.75">
      <c r="A298" t="s">
        <v>6</v>
      </c>
      <c r="B298" t="s">
        <v>262</v>
      </c>
      <c r="C298" t="s">
        <v>263</v>
      </c>
      <c r="D298" t="s">
        <v>21</v>
      </c>
      <c r="E298" t="s">
        <v>9</v>
      </c>
      <c r="F298" t="s">
        <v>10</v>
      </c>
      <c r="G298" t="s">
        <v>11</v>
      </c>
      <c r="H298" s="1" t="str">
        <f>HYPERLINK("http://apps.fcc.gov/ecfs/document/view?id=7520943895","ARC E rate Comments (16 pages)")</f>
        <v>ARC E rate Comments (16 pages)</v>
      </c>
    </row>
    <row r="299" spans="1:8" ht="12.75">
      <c r="A299" t="s">
        <v>6</v>
      </c>
      <c r="B299" t="s">
        <v>264</v>
      </c>
      <c r="D299" t="s">
        <v>21</v>
      </c>
      <c r="E299" t="s">
        <v>9</v>
      </c>
      <c r="F299" t="s">
        <v>10</v>
      </c>
      <c r="G299" t="s">
        <v>11</v>
      </c>
      <c r="H299" s="1" t="str">
        <f>HYPERLINK("http://apps.fcc.gov/ecfs/document/view?id=7520944012","  (19 pages)")</f>
        <v>  (19 pages)</v>
      </c>
    </row>
    <row r="300" spans="1:8" ht="12.75">
      <c r="A300" t="s">
        <v>6</v>
      </c>
      <c r="B300" t="s">
        <v>265</v>
      </c>
      <c r="D300" t="s">
        <v>21</v>
      </c>
      <c r="E300" t="s">
        <v>9</v>
      </c>
      <c r="F300" t="s">
        <v>10</v>
      </c>
      <c r="G300" t="s">
        <v>11</v>
      </c>
      <c r="H300" s="1" t="str">
        <f>HYPERLINK("http://apps.fcc.gov/ecfs/document/view?id=7520943950","  (21 pages)")</f>
        <v>  (21 pages)</v>
      </c>
    </row>
    <row r="301" spans="1:8" ht="12.75">
      <c r="A301" t="s">
        <v>6</v>
      </c>
      <c r="B301" t="s">
        <v>266</v>
      </c>
      <c r="C301" t="s">
        <v>267</v>
      </c>
      <c r="D301" t="s">
        <v>21</v>
      </c>
      <c r="E301" t="s">
        <v>9</v>
      </c>
      <c r="F301" t="s">
        <v>10</v>
      </c>
      <c r="G301" t="s">
        <v>11</v>
      </c>
      <c r="H301" s="1" t="str">
        <f>HYPERLINK("http://apps.fcc.gov/ecfs/document/view?id=7520944104","ADTRAN Comments (25 pages)")</f>
        <v>ADTRAN Comments (25 pages)</v>
      </c>
    </row>
    <row r="302" spans="1:8" ht="12.75">
      <c r="A302" t="s">
        <v>6</v>
      </c>
      <c r="B302" t="s">
        <v>268</v>
      </c>
      <c r="D302" t="s">
        <v>21</v>
      </c>
      <c r="E302" t="s">
        <v>21</v>
      </c>
      <c r="F302" t="s">
        <v>10</v>
      </c>
      <c r="G302" t="s">
        <v>11</v>
      </c>
      <c r="H302" s="1" t="str">
        <f>HYPERLINK("http://apps.fcc.gov/ecfs/document/view?id=7520943844","  (20 pages)")</f>
        <v>  (20 pages)</v>
      </c>
    </row>
    <row r="303" spans="1:8" ht="12.75">
      <c r="A303" t="s">
        <v>6</v>
      </c>
      <c r="B303" t="s">
        <v>269</v>
      </c>
      <c r="D303" t="s">
        <v>21</v>
      </c>
      <c r="E303" t="s">
        <v>21</v>
      </c>
      <c r="F303" t="s">
        <v>10</v>
      </c>
      <c r="G303" t="s">
        <v>11</v>
      </c>
      <c r="H303" s="1" t="str">
        <f>HYPERLINK("http://apps.fcc.gov/ecfs/document/view?id=7520943855","  (22 pages)")</f>
        <v>  (22 pages)</v>
      </c>
    </row>
    <row r="304" spans="1:8" ht="12.75">
      <c r="A304" t="s">
        <v>6</v>
      </c>
      <c r="B304" t="s">
        <v>270</v>
      </c>
      <c r="C304" t="s">
        <v>271</v>
      </c>
      <c r="D304" t="s">
        <v>21</v>
      </c>
      <c r="E304" t="s">
        <v>21</v>
      </c>
      <c r="F304" t="s">
        <v>10</v>
      </c>
      <c r="G304" t="s">
        <v>11</v>
      </c>
      <c r="H304" s="1" t="str">
        <f>HYPERLINK("http://apps.fcc.gov/ecfs/document/view?id=7520943839","  (16 pages)")</f>
        <v>  (16 pages)</v>
      </c>
    </row>
    <row r="305" spans="1:8" ht="12.75">
      <c r="A305" t="s">
        <v>6</v>
      </c>
      <c r="B305" t="s">
        <v>272</v>
      </c>
      <c r="D305" t="s">
        <v>21</v>
      </c>
      <c r="E305" t="s">
        <v>21</v>
      </c>
      <c r="F305" t="s">
        <v>10</v>
      </c>
      <c r="G305" t="s">
        <v>11</v>
      </c>
      <c r="H305" s="1" t="str">
        <f>HYPERLINK("http://apps.fcc.gov/ecfs/document/view?id=7520943853","Sitka School District s comment on E Rate NPRM (3 pages)")</f>
        <v>Sitka School District s comment on E Rate NPRM (3 pages)</v>
      </c>
    </row>
    <row r="306" spans="1:8" ht="12.75">
      <c r="A306" t="s">
        <v>6</v>
      </c>
      <c r="B306" t="s">
        <v>273</v>
      </c>
      <c r="D306" t="s">
        <v>21</v>
      </c>
      <c r="E306" t="s">
        <v>21</v>
      </c>
      <c r="F306" t="s">
        <v>10</v>
      </c>
      <c r="G306" t="s">
        <v>11</v>
      </c>
      <c r="H306" s="1" t="str">
        <f>HYPERLINK("http://apps.fcc.gov/ecfs/document/view?id=7520943846","  (5 pages)")</f>
        <v>  (5 pages)</v>
      </c>
    </row>
    <row r="307" spans="1:8" ht="12.75">
      <c r="A307" t="s">
        <v>6</v>
      </c>
      <c r="B307" t="s">
        <v>274</v>
      </c>
      <c r="D307" t="s">
        <v>21</v>
      </c>
      <c r="E307" t="s">
        <v>21</v>
      </c>
      <c r="F307" t="s">
        <v>10</v>
      </c>
      <c r="G307" t="s">
        <v>11</v>
      </c>
      <c r="H307" s="1" t="str">
        <f>HYPERLINK("http://apps.fcc.gov/ecfs/document/view?id=7520943856","  (1 page)")</f>
        <v>  (1 page)</v>
      </c>
    </row>
    <row r="308" spans="1:8" ht="12.75">
      <c r="A308" t="s">
        <v>6</v>
      </c>
      <c r="B308" t="s">
        <v>275</v>
      </c>
      <c r="D308" t="s">
        <v>21</v>
      </c>
      <c r="E308" t="s">
        <v>21</v>
      </c>
      <c r="F308" t="s">
        <v>10</v>
      </c>
      <c r="G308" t="s">
        <v>11</v>
      </c>
      <c r="H308" s="1" t="str">
        <f>HYPERLINK("http://apps.fcc.gov/ecfs/document/view?id=7520943852","NPRM Comments (5 pages)")</f>
        <v>NPRM Comments (5 pages)</v>
      </c>
    </row>
    <row r="309" spans="1:8" ht="12.75">
      <c r="A309" t="s">
        <v>6</v>
      </c>
      <c r="B309" t="s">
        <v>276</v>
      </c>
      <c r="D309" t="s">
        <v>21</v>
      </c>
      <c r="E309" t="s">
        <v>21</v>
      </c>
      <c r="F309" t="s">
        <v>10</v>
      </c>
      <c r="G309" t="s">
        <v>11</v>
      </c>
      <c r="H309" s="1" t="str">
        <f>HYPERLINK("http://apps.fcc.gov/ecfs/document/view?id=7520943863","  (1 page)")</f>
        <v>  (1 page)</v>
      </c>
    </row>
    <row r="310" spans="1:8" ht="12.75">
      <c r="A310" t="s">
        <v>6</v>
      </c>
      <c r="B310" t="s">
        <v>277</v>
      </c>
      <c r="D310" t="s">
        <v>21</v>
      </c>
      <c r="E310" t="s">
        <v>21</v>
      </c>
      <c r="F310" t="s">
        <v>10</v>
      </c>
      <c r="G310" t="s">
        <v>11</v>
      </c>
      <c r="H310" s="1" t="str">
        <f>HYPERLINK("http://apps.fcc.gov/ecfs/document/view?id=7520943850","  (6 pages)")</f>
        <v>  (6 pages)</v>
      </c>
    </row>
    <row r="311" spans="1:8" ht="12.75">
      <c r="A311" t="s">
        <v>6</v>
      </c>
      <c r="B311" t="s">
        <v>278</v>
      </c>
      <c r="D311" t="s">
        <v>21</v>
      </c>
      <c r="E311" t="s">
        <v>21</v>
      </c>
      <c r="F311" t="s">
        <v>10</v>
      </c>
      <c r="G311" t="s">
        <v>11</v>
      </c>
      <c r="H311" s="1" t="str">
        <f>HYPERLINK("http://apps.fcc.gov/ecfs/document/view?id=7520943837","  (1 page)")</f>
        <v>  (1 page)</v>
      </c>
    </row>
    <row r="312" spans="1:8" ht="12.75">
      <c r="A312" t="s">
        <v>6</v>
      </c>
      <c r="B312" t="s">
        <v>279</v>
      </c>
      <c r="D312" t="s">
        <v>21</v>
      </c>
      <c r="E312" t="s">
        <v>21</v>
      </c>
      <c r="F312" t="s">
        <v>10</v>
      </c>
      <c r="G312" t="s">
        <v>11</v>
      </c>
      <c r="H312" s="1" t="str">
        <f>HYPERLINK("http://apps.fcc.gov/ecfs/document/view?id=7520943857","  (9 pages)")</f>
        <v>  (9 pages)</v>
      </c>
    </row>
    <row r="313" spans="1:8" ht="12.75">
      <c r="A313" t="s">
        <v>6</v>
      </c>
      <c r="B313" t="s">
        <v>280</v>
      </c>
      <c r="D313" t="s">
        <v>21</v>
      </c>
      <c r="E313" t="s">
        <v>21</v>
      </c>
      <c r="F313" t="s">
        <v>10</v>
      </c>
      <c r="G313" t="s">
        <v>11</v>
      </c>
      <c r="H313" s="1" t="str">
        <f>HYPERLINK("http://apps.fcc.gov/ecfs/document/view?id=7520943860","  (1 page)")</f>
        <v>  (1 page)</v>
      </c>
    </row>
    <row r="314" spans="1:8" ht="12.75">
      <c r="A314" t="s">
        <v>6</v>
      </c>
      <c r="B314" t="s">
        <v>281</v>
      </c>
      <c r="D314" t="s">
        <v>21</v>
      </c>
      <c r="E314" t="s">
        <v>21</v>
      </c>
      <c r="F314" t="s">
        <v>10</v>
      </c>
      <c r="G314" t="s">
        <v>11</v>
      </c>
      <c r="H314" s="1" t="str">
        <f>HYPERLINK("http://apps.fcc.gov/ecfs/document/view?id=7520943866","  (145 pages)")</f>
        <v>  (145 pages)</v>
      </c>
    </row>
    <row r="315" spans="1:8" ht="12.75">
      <c r="A315" t="s">
        <v>6</v>
      </c>
      <c r="B315" t="s">
        <v>282</v>
      </c>
      <c r="D315" t="s">
        <v>21</v>
      </c>
      <c r="E315" t="s">
        <v>21</v>
      </c>
      <c r="F315" t="s">
        <v>10</v>
      </c>
      <c r="G315" t="s">
        <v>11</v>
      </c>
      <c r="H315" s="1" t="str">
        <f>HYPERLINK("http://apps.fcc.gov/ecfs/document/view?id=7520943858","  (1 page)")</f>
        <v>  (1 page)</v>
      </c>
    </row>
    <row r="316" spans="1:8" ht="12.75">
      <c r="A316" t="s">
        <v>6</v>
      </c>
      <c r="B316" t="s">
        <v>283</v>
      </c>
      <c r="D316" t="s">
        <v>21</v>
      </c>
      <c r="E316" t="s">
        <v>21</v>
      </c>
      <c r="F316" t="s">
        <v>10</v>
      </c>
      <c r="G316" t="s">
        <v>11</v>
      </c>
      <c r="H316" s="1" t="str">
        <f>HYPERLINK("http://apps.fcc.gov/ecfs/document/view?id=7520943861","Comments from Peekskill City School District (1 page)")</f>
        <v>Comments from Peekskill City School District (1 page)</v>
      </c>
    </row>
    <row r="317" spans="1:8" ht="12.75">
      <c r="A317" t="s">
        <v>6</v>
      </c>
      <c r="B317" t="s">
        <v>284</v>
      </c>
      <c r="D317" t="s">
        <v>21</v>
      </c>
      <c r="E317" t="s">
        <v>21</v>
      </c>
      <c r="F317" t="s">
        <v>10</v>
      </c>
      <c r="G317" t="s">
        <v>11</v>
      </c>
      <c r="H317" s="1" t="str">
        <f>HYPERLINK("http://apps.fcc.gov/ecfs/document/view?id=7520943841","  (7 pages)")</f>
        <v>  (7 pages)</v>
      </c>
    </row>
    <row r="318" spans="1:8" ht="12.75">
      <c r="A318" t="s">
        <v>6</v>
      </c>
      <c r="B318" t="s">
        <v>285</v>
      </c>
      <c r="D318" t="s">
        <v>21</v>
      </c>
      <c r="E318" t="s">
        <v>21</v>
      </c>
      <c r="F318" t="s">
        <v>10</v>
      </c>
      <c r="G318" t="s">
        <v>11</v>
      </c>
      <c r="H318" s="1" t="str">
        <f>HYPERLINK("http://apps.fcc.gov/ecfs/document/view?id=7520943822","  (1 page)")</f>
        <v>  (1 page)</v>
      </c>
    </row>
    <row r="319" spans="1:8" ht="12.75">
      <c r="A319" t="s">
        <v>6</v>
      </c>
      <c r="B319" t="s">
        <v>286</v>
      </c>
      <c r="D319" t="s">
        <v>21</v>
      </c>
      <c r="E319" t="s">
        <v>21</v>
      </c>
      <c r="F319" t="s">
        <v>10</v>
      </c>
      <c r="G319" t="s">
        <v>11</v>
      </c>
      <c r="H319" s="1" t="str">
        <f>HYPERLINK("http://apps.fcc.gov/ecfs/document/view?id=7520943838","  (10 pages)")</f>
        <v>  (10 pages)</v>
      </c>
    </row>
    <row r="320" spans="1:8" ht="12.75">
      <c r="A320" t="s">
        <v>6</v>
      </c>
      <c r="B320" t="s">
        <v>287</v>
      </c>
      <c r="D320" t="s">
        <v>21</v>
      </c>
      <c r="E320" t="s">
        <v>21</v>
      </c>
      <c r="F320" t="s">
        <v>10</v>
      </c>
      <c r="G320" t="s">
        <v>11</v>
      </c>
      <c r="H320" s="1" t="str">
        <f>HYPERLINK("http://apps.fcc.gov/ecfs/document/view?id=7520943854","  (2 pages)")</f>
        <v>  (2 pages)</v>
      </c>
    </row>
    <row r="321" spans="1:8" ht="12.75">
      <c r="A321" t="s">
        <v>6</v>
      </c>
      <c r="B321" t="s">
        <v>288</v>
      </c>
      <c r="D321" t="s">
        <v>21</v>
      </c>
      <c r="E321" t="s">
        <v>21</v>
      </c>
      <c r="F321" t="s">
        <v>10</v>
      </c>
      <c r="G321" t="s">
        <v>11</v>
      </c>
      <c r="H321" s="1" t="str">
        <f>HYPERLINK("http://apps.fcc.gov/ecfs/document/view?id=7520943836","  (16 pages)")</f>
        <v>  (16 pages)</v>
      </c>
    </row>
    <row r="322" spans="1:8" ht="12.75">
      <c r="A322" t="s">
        <v>6</v>
      </c>
      <c r="B322" t="s">
        <v>289</v>
      </c>
      <c r="C322" t="s">
        <v>290</v>
      </c>
      <c r="D322" t="s">
        <v>21</v>
      </c>
      <c r="E322" t="s">
        <v>21</v>
      </c>
      <c r="F322" t="s">
        <v>10</v>
      </c>
      <c r="G322" t="s">
        <v>11</v>
      </c>
      <c r="H322" s="1" t="str">
        <f>HYPERLINK("http://apps.fcc.gov/ecfs/document/view?id=7520943800","Wagon Mound Public Schools Comments on NPRM changes to Email and Web Hosting (1 page)")</f>
        <v>Wagon Mound Public Schools Comments on NPRM changes to Email and Web Hosting (1 page)</v>
      </c>
    </row>
    <row r="323" spans="1:8" ht="12.75">
      <c r="A323" t="s">
        <v>6</v>
      </c>
      <c r="B323" t="s">
        <v>291</v>
      </c>
      <c r="C323" t="s">
        <v>292</v>
      </c>
      <c r="D323" t="s">
        <v>21</v>
      </c>
      <c r="E323" t="s">
        <v>21</v>
      </c>
      <c r="F323" t="s">
        <v>10</v>
      </c>
      <c r="G323" t="s">
        <v>11</v>
      </c>
      <c r="H323" s="1" t="str">
        <f>HYPERLINK("http://apps.fcc.gov/ecfs/document/view?id=7520943802","Sunesys LLC Initial E rate NPRM Comments (15 pages)")</f>
        <v>Sunesys LLC Initial E rate NPRM Comments (15 pages)</v>
      </c>
    </row>
    <row r="324" spans="1:8" ht="12.75">
      <c r="A324" t="s">
        <v>6</v>
      </c>
      <c r="B324" t="s">
        <v>293</v>
      </c>
      <c r="D324" t="s">
        <v>21</v>
      </c>
      <c r="E324" t="s">
        <v>21</v>
      </c>
      <c r="F324" t="s">
        <v>10</v>
      </c>
      <c r="G324" t="s">
        <v>11</v>
      </c>
      <c r="H324" s="1" t="str">
        <f>HYPERLINK("http://apps.fcc.gov/ecfs/document/view?id=7520943809","  (2 pages)")</f>
        <v>  (2 pages)</v>
      </c>
    </row>
    <row r="325" spans="1:8" ht="12.75">
      <c r="A325" t="s">
        <v>6</v>
      </c>
      <c r="B325" t="s">
        <v>294</v>
      </c>
      <c r="D325" t="s">
        <v>21</v>
      </c>
      <c r="E325" t="s">
        <v>21</v>
      </c>
      <c r="F325" t="s">
        <v>10</v>
      </c>
      <c r="G325" t="s">
        <v>11</v>
      </c>
      <c r="H325" s="1" t="str">
        <f>HYPERLINK("http://apps.fcc.gov/ecfs/document/view?id=7520943811","  (2 pages)")</f>
        <v>  (2 pages)</v>
      </c>
    </row>
    <row r="326" spans="1:8" ht="12.75">
      <c r="A326" t="s">
        <v>6</v>
      </c>
      <c r="B326" t="s">
        <v>295</v>
      </c>
      <c r="D326" t="s">
        <v>21</v>
      </c>
      <c r="E326" t="s">
        <v>21</v>
      </c>
      <c r="F326" t="s">
        <v>10</v>
      </c>
      <c r="G326" t="s">
        <v>11</v>
      </c>
      <c r="H326" s="1" t="str">
        <f>HYPERLINK("http://apps.fcc.gov/ecfs/document/view?id=7520943799","  (2 pages)")</f>
        <v>  (2 pages)</v>
      </c>
    </row>
    <row r="327" spans="1:8" ht="12.75">
      <c r="A327" t="s">
        <v>6</v>
      </c>
      <c r="B327" t="s">
        <v>296</v>
      </c>
      <c r="D327" t="s">
        <v>21</v>
      </c>
      <c r="E327" t="s">
        <v>21</v>
      </c>
      <c r="F327" t="s">
        <v>10</v>
      </c>
      <c r="G327" t="s">
        <v>11</v>
      </c>
      <c r="H327" s="1" t="str">
        <f>HYPERLINK("http://apps.fcc.gov/ecfs/document/view?id=7520943803","  (2 pages)")</f>
        <v>  (2 pages)</v>
      </c>
    </row>
    <row r="328" spans="1:8" ht="12.75">
      <c r="A328" t="s">
        <v>6</v>
      </c>
      <c r="B328" t="s">
        <v>297</v>
      </c>
      <c r="D328" t="s">
        <v>21</v>
      </c>
      <c r="E328" t="s">
        <v>21</v>
      </c>
      <c r="F328" t="s">
        <v>10</v>
      </c>
      <c r="G328" t="s">
        <v>11</v>
      </c>
      <c r="H328" s="1" t="str">
        <f>HYPERLINK("http://apps.fcc.gov/ecfs/document/view?id=7520943804","  (5 pages)")</f>
        <v>  (5 pages)</v>
      </c>
    </row>
    <row r="329" spans="1:8" ht="12.75">
      <c r="A329" t="s">
        <v>6</v>
      </c>
      <c r="B329" t="s">
        <v>298</v>
      </c>
      <c r="C329" t="s">
        <v>299</v>
      </c>
      <c r="D329" t="s">
        <v>21</v>
      </c>
      <c r="E329" t="s">
        <v>21</v>
      </c>
      <c r="F329" t="s">
        <v>10</v>
      </c>
      <c r="G329" t="s">
        <v>11</v>
      </c>
      <c r="H329" s="1" t="str">
        <f>HYPERLINK("http://apps.fcc.gov/ecfs/document/view?id=7520943807","  (3 pages)")</f>
        <v>  (3 pages)</v>
      </c>
    </row>
    <row r="330" spans="1:8" ht="12.75">
      <c r="A330" t="s">
        <v>6</v>
      </c>
      <c r="B330" t="s">
        <v>300</v>
      </c>
      <c r="D330" t="s">
        <v>21</v>
      </c>
      <c r="E330" t="s">
        <v>21</v>
      </c>
      <c r="F330" t="s">
        <v>10</v>
      </c>
      <c r="G330" t="s">
        <v>11</v>
      </c>
      <c r="H330" s="1" t="str">
        <f>HYPERLINK("http://apps.fcc.gov/ecfs/document/view?id=7520943819","  (12 pages)")</f>
        <v>  (12 pages)</v>
      </c>
    </row>
    <row r="331" spans="1:8" ht="12.75">
      <c r="A331" t="s">
        <v>6</v>
      </c>
      <c r="B331" t="s">
        <v>301</v>
      </c>
      <c r="D331" t="s">
        <v>21</v>
      </c>
      <c r="E331" t="s">
        <v>21</v>
      </c>
      <c r="F331" t="s">
        <v>10</v>
      </c>
      <c r="G331" t="s">
        <v>11</v>
      </c>
      <c r="H331" s="1" t="str">
        <f>HYPERLINK("http://apps.fcc.gov/ecfs/document/view?id=7520943810","  (1 page)")</f>
        <v>  (1 page)</v>
      </c>
    </row>
    <row r="332" spans="1:8" ht="12.75">
      <c r="A332" t="s">
        <v>6</v>
      </c>
      <c r="B332" t="s">
        <v>302</v>
      </c>
      <c r="D332" t="s">
        <v>21</v>
      </c>
      <c r="E332" t="s">
        <v>21</v>
      </c>
      <c r="F332" t="s">
        <v>10</v>
      </c>
      <c r="G332" t="s">
        <v>11</v>
      </c>
      <c r="H332" s="1" t="str">
        <f>HYPERLINK("http://apps.fcc.gov/ecfs/document/view?id=7520943816","District Comment on E Rate NPRM (1 page)")</f>
        <v>District Comment on E Rate NPRM (1 page)</v>
      </c>
    </row>
    <row r="333" spans="1:8" ht="12.75">
      <c r="A333" t="s">
        <v>6</v>
      </c>
      <c r="B333" t="s">
        <v>303</v>
      </c>
      <c r="D333" t="s">
        <v>21</v>
      </c>
      <c r="E333" t="s">
        <v>21</v>
      </c>
      <c r="F333" t="s">
        <v>10</v>
      </c>
      <c r="G333" t="s">
        <v>11</v>
      </c>
      <c r="H333" s="1" t="str">
        <f>HYPERLINK("http://apps.fcc.gov/ecfs/document/view?id=7520943805","  (1 page)")</f>
        <v>  (1 page)</v>
      </c>
    </row>
    <row r="334" spans="1:8" ht="12.75">
      <c r="A334" t="s">
        <v>6</v>
      </c>
      <c r="B334" t="s">
        <v>304</v>
      </c>
      <c r="C334" t="s">
        <v>292</v>
      </c>
      <c r="D334" t="s">
        <v>21</v>
      </c>
      <c r="E334" t="s">
        <v>21</v>
      </c>
      <c r="F334" t="s">
        <v>10</v>
      </c>
      <c r="G334" t="s">
        <v>11</v>
      </c>
      <c r="H334" s="1" t="str">
        <f>HYPERLINK("http://apps.fcc.gov/ecfs/document/view?id=7520943814","Internet2 Initial E rate NPRM Comments (26 pages)")</f>
        <v>Internet2 Initial E rate NPRM Comments (26 pages)</v>
      </c>
    </row>
    <row r="335" spans="1:8" ht="12.75">
      <c r="A335" t="s">
        <v>6</v>
      </c>
      <c r="B335" t="s">
        <v>305</v>
      </c>
      <c r="C335" t="s">
        <v>306</v>
      </c>
      <c r="D335" t="s">
        <v>21</v>
      </c>
      <c r="E335" t="s">
        <v>21</v>
      </c>
      <c r="F335" t="s">
        <v>10</v>
      </c>
      <c r="G335" t="s">
        <v>11</v>
      </c>
      <c r="H335" s="1" t="str">
        <f>HYPERLINK("http://apps.fcc.gov/ecfs/document/view?id=7520943798","  (2 pages)")</f>
        <v>  (2 pages)</v>
      </c>
    </row>
    <row r="336" spans="1:8" ht="12.75">
      <c r="A336" t="s">
        <v>6</v>
      </c>
      <c r="B336" t="s">
        <v>307</v>
      </c>
      <c r="D336" t="s">
        <v>21</v>
      </c>
      <c r="E336" t="s">
        <v>21</v>
      </c>
      <c r="F336" t="s">
        <v>10</v>
      </c>
      <c r="G336" t="s">
        <v>11</v>
      </c>
      <c r="H336" s="1" t="str">
        <f>HYPERLINK("http://apps.fcc.gov/ecfs/document/view?id=7520943801","  (1 page)")</f>
        <v>  (1 page)</v>
      </c>
    </row>
    <row r="337" spans="1:8" ht="12.75">
      <c r="A337" t="s">
        <v>6</v>
      </c>
      <c r="B337" t="s">
        <v>308</v>
      </c>
      <c r="D337" t="s">
        <v>21</v>
      </c>
      <c r="E337" t="s">
        <v>21</v>
      </c>
      <c r="F337" t="s">
        <v>10</v>
      </c>
      <c r="G337" t="s">
        <v>11</v>
      </c>
      <c r="H337" s="1" t="str">
        <f>HYPERLINK("http://apps.fcc.gov/ecfs/document/view?id=7520943818","  (2 pages)")</f>
        <v>  (2 pages)</v>
      </c>
    </row>
    <row r="338" spans="1:8" ht="12.75">
      <c r="A338" t="s">
        <v>6</v>
      </c>
      <c r="B338" t="s">
        <v>309</v>
      </c>
      <c r="D338" t="s">
        <v>21</v>
      </c>
      <c r="E338" t="s">
        <v>21</v>
      </c>
      <c r="F338" t="s">
        <v>10</v>
      </c>
      <c r="G338" t="s">
        <v>11</v>
      </c>
      <c r="H338" s="1" t="str">
        <f>HYPERLINK("http://apps.fcc.gov/ecfs/document/view?id=7520943806","NE Colorado NPRM Response in support of its member districts (2 pages)")</f>
        <v>NE Colorado NPRM Response in support of its member districts (2 pages)</v>
      </c>
    </row>
    <row r="339" spans="1:8" ht="12.75">
      <c r="A339" t="s">
        <v>6</v>
      </c>
      <c r="B339" t="s">
        <v>260</v>
      </c>
      <c r="D339" t="s">
        <v>21</v>
      </c>
      <c r="E339" t="s">
        <v>21</v>
      </c>
      <c r="F339" t="s">
        <v>10</v>
      </c>
      <c r="G339" t="s">
        <v>11</v>
      </c>
      <c r="H339" s="1" t="str">
        <f>HYPERLINK("http://apps.fcc.gov/ecfs/document/view?id=7520943813","Comments from the Alliance for Excellent Education on WC Docket No 13 184 (14 pages)")</f>
        <v>Comments from the Alliance for Excellent Education on WC Docket No 13 184 (14 pages)</v>
      </c>
    </row>
    <row r="340" spans="1:8" ht="12.75">
      <c r="A340" t="s">
        <v>6</v>
      </c>
      <c r="B340" t="s">
        <v>310</v>
      </c>
      <c r="D340" t="s">
        <v>21</v>
      </c>
      <c r="E340" t="s">
        <v>21</v>
      </c>
      <c r="F340" t="s">
        <v>10</v>
      </c>
      <c r="G340" t="s">
        <v>11</v>
      </c>
      <c r="H340" s="1" t="str">
        <f>HYPERLINK("http://apps.fcc.gov/ecfs/document/view?id=7520943766","  (7 pages)")</f>
        <v>  (7 pages)</v>
      </c>
    </row>
    <row r="341" spans="1:8" ht="12.75">
      <c r="A341" t="s">
        <v>6</v>
      </c>
      <c r="B341" t="s">
        <v>311</v>
      </c>
      <c r="D341" t="s">
        <v>21</v>
      </c>
      <c r="E341" t="s">
        <v>21</v>
      </c>
      <c r="F341" t="s">
        <v>10</v>
      </c>
      <c r="G341" t="s">
        <v>11</v>
      </c>
      <c r="H341" s="1" t="str">
        <f>HYPERLINK("http://apps.fcc.gov/ecfs/document/view?id=7520943772","  (4 pages)")</f>
        <v>  (4 pages)</v>
      </c>
    </row>
    <row r="342" spans="1:8" ht="12.75">
      <c r="A342" t="s">
        <v>6</v>
      </c>
      <c r="B342" t="s">
        <v>312</v>
      </c>
      <c r="D342" t="s">
        <v>21</v>
      </c>
      <c r="E342" t="s">
        <v>21</v>
      </c>
      <c r="F342" t="s">
        <v>10</v>
      </c>
      <c r="G342" t="s">
        <v>11</v>
      </c>
      <c r="H342" s="1" t="str">
        <f>HYPERLINK("http://apps.fcc.gov/ecfs/document/view?id=7520943785","  (2 pages)")</f>
        <v>  (2 pages)</v>
      </c>
    </row>
    <row r="343" spans="1:8" ht="12.75">
      <c r="A343" t="s">
        <v>6</v>
      </c>
      <c r="B343" t="s">
        <v>313</v>
      </c>
      <c r="D343" t="s">
        <v>21</v>
      </c>
      <c r="E343" t="s">
        <v>21</v>
      </c>
      <c r="F343" t="s">
        <v>10</v>
      </c>
      <c r="G343" t="s">
        <v>11</v>
      </c>
      <c r="H343" s="1" t="str">
        <f>HYPERLINK("http://apps.fcc.gov/ecfs/document/view?id=7520943787","  (1 page)")</f>
        <v>  (1 page)</v>
      </c>
    </row>
    <row r="344" spans="1:8" ht="12.75">
      <c r="A344" t="s">
        <v>6</v>
      </c>
      <c r="B344" t="s">
        <v>314</v>
      </c>
      <c r="D344" t="s">
        <v>21</v>
      </c>
      <c r="E344" t="s">
        <v>21</v>
      </c>
      <c r="F344" t="s">
        <v>10</v>
      </c>
      <c r="G344" t="s">
        <v>11</v>
      </c>
      <c r="H344" s="1" t="str">
        <f>HYPERLINK("http://apps.fcc.gov/ecfs/document/view?id=7520943795","  (10 pages)")</f>
        <v>  (10 pages)</v>
      </c>
    </row>
    <row r="345" spans="1:8" ht="12.75">
      <c r="A345" t="s">
        <v>6</v>
      </c>
      <c r="B345" t="s">
        <v>315</v>
      </c>
      <c r="D345" t="s">
        <v>21</v>
      </c>
      <c r="E345" t="s">
        <v>21</v>
      </c>
      <c r="F345" t="s">
        <v>10</v>
      </c>
      <c r="G345" t="s">
        <v>11</v>
      </c>
      <c r="H345" s="1" t="str">
        <f>HYPERLINK("http://apps.fcc.gov/ecfs/document/view?id=7520943755","NASSP Comments on E Rate NPRM (10 pages)")</f>
        <v>NASSP Comments on E Rate NPRM (10 pages)</v>
      </c>
    </row>
    <row r="346" spans="1:8" ht="12.75">
      <c r="A346" t="s">
        <v>6</v>
      </c>
      <c r="B346" t="s">
        <v>316</v>
      </c>
      <c r="D346" t="s">
        <v>21</v>
      </c>
      <c r="E346" t="s">
        <v>21</v>
      </c>
      <c r="F346" t="s">
        <v>10</v>
      </c>
      <c r="G346" t="s">
        <v>11</v>
      </c>
      <c r="H346" s="1" t="str">
        <f>HYPERLINK("http://apps.fcc.gov/ecfs/document/view?id=7520943783"," (1 page)")</f>
        <v> (1 page)</v>
      </c>
    </row>
    <row r="347" spans="1:8" ht="12.75">
      <c r="A347" t="s">
        <v>6</v>
      </c>
      <c r="B347" t="s">
        <v>317</v>
      </c>
      <c r="D347" t="s">
        <v>21</v>
      </c>
      <c r="E347" t="s">
        <v>21</v>
      </c>
      <c r="F347" t="s">
        <v>10</v>
      </c>
      <c r="G347" t="s">
        <v>11</v>
      </c>
      <c r="H347" s="1" t="str">
        <f>HYPERLINK("http://apps.fcc.gov/ecfs/document/view?id=7520943792","  (2 pages)")</f>
        <v>  (2 pages)</v>
      </c>
    </row>
    <row r="348" spans="1:8" ht="12.75">
      <c r="A348" t="s">
        <v>6</v>
      </c>
      <c r="B348" t="s">
        <v>318</v>
      </c>
      <c r="D348" t="s">
        <v>21</v>
      </c>
      <c r="E348" t="s">
        <v>21</v>
      </c>
      <c r="F348" t="s">
        <v>10</v>
      </c>
      <c r="G348" t="s">
        <v>11</v>
      </c>
      <c r="H348" s="1" t="str">
        <f>HYPERLINK("http://apps.fcc.gov/ecfs/document/view?id=7520943793"," (1 page)")</f>
        <v> (1 page)</v>
      </c>
    </row>
    <row r="349" spans="1:8" ht="12.75">
      <c r="A349" t="s">
        <v>6</v>
      </c>
      <c r="B349" t="s">
        <v>319</v>
      </c>
      <c r="D349" t="s">
        <v>21</v>
      </c>
      <c r="E349" t="s">
        <v>21</v>
      </c>
      <c r="F349" t="s">
        <v>10</v>
      </c>
      <c r="G349" t="s">
        <v>11</v>
      </c>
      <c r="H349" s="1" t="str">
        <f>HYPERLINK("http://apps.fcc.gov/ecfs/document/view?id=7520943791","  (4 pages)")</f>
        <v>  (4 pages)</v>
      </c>
    </row>
    <row r="350" spans="1:8" ht="12.75">
      <c r="A350" t="s">
        <v>6</v>
      </c>
      <c r="B350" t="s">
        <v>320</v>
      </c>
      <c r="D350" t="s">
        <v>21</v>
      </c>
      <c r="E350" t="s">
        <v>21</v>
      </c>
      <c r="F350" t="s">
        <v>10</v>
      </c>
      <c r="G350" t="s">
        <v>11</v>
      </c>
      <c r="H350" s="1" t="str">
        <f>HYPERLINK("http://apps.fcc.gov/ecfs/document/view?id=7520943779"," (1 page)")</f>
        <v> (1 page)</v>
      </c>
    </row>
    <row r="351" spans="1:9" ht="12.75">
      <c r="A351" t="s">
        <v>6</v>
      </c>
      <c r="B351" t="s">
        <v>321</v>
      </c>
      <c r="D351" t="s">
        <v>21</v>
      </c>
      <c r="E351" t="s">
        <v>21</v>
      </c>
      <c r="F351" t="s">
        <v>10</v>
      </c>
      <c r="G351" t="s">
        <v>11</v>
      </c>
      <c r="H351" s="1" t="str">
        <f>HYPERLINK("http://apps.fcc.gov/ecfs/document/view?id=7520943753","  (2 pages)")</f>
        <v>  (2 pages)</v>
      </c>
      <c r="I351" s="1" t="str">
        <f>HYPERLINK("http://apps.fcc.gov/ecfs/document/view?id=7520943754","  (2 pages)")</f>
        <v>  (2 pages)</v>
      </c>
    </row>
    <row r="352" spans="1:8" ht="12.75">
      <c r="A352" t="s">
        <v>6</v>
      </c>
      <c r="B352" t="s">
        <v>322</v>
      </c>
      <c r="D352" t="s">
        <v>21</v>
      </c>
      <c r="E352" t="s">
        <v>21</v>
      </c>
      <c r="F352" t="s">
        <v>10</v>
      </c>
      <c r="G352" t="s">
        <v>11</v>
      </c>
      <c r="H352" s="1" t="str">
        <f>HYPERLINK("http://apps.fcc.gov/ecfs/document/view?id=7520943778","Friday Institute Comments for WC 13 184 (8 pages)")</f>
        <v>Friday Institute Comments for WC 13 184 (8 pages)</v>
      </c>
    </row>
    <row r="353" spans="1:8" ht="12.75">
      <c r="A353" t="s">
        <v>6</v>
      </c>
      <c r="B353" t="s">
        <v>323</v>
      </c>
      <c r="D353" t="s">
        <v>21</v>
      </c>
      <c r="E353" t="s">
        <v>21</v>
      </c>
      <c r="F353" t="s">
        <v>10</v>
      </c>
      <c r="G353" t="s">
        <v>11</v>
      </c>
      <c r="H353" s="1" t="str">
        <f>HYPERLINK("http://apps.fcc.gov/ecfs/document/view?id=7520943796","  (2 pages)")</f>
        <v>  (2 pages)</v>
      </c>
    </row>
    <row r="354" spans="1:9" ht="12.75">
      <c r="A354" t="s">
        <v>6</v>
      </c>
      <c r="B354" t="s">
        <v>324</v>
      </c>
      <c r="D354" t="s">
        <v>21</v>
      </c>
      <c r="E354" t="s">
        <v>21</v>
      </c>
      <c r="F354" t="s">
        <v>10</v>
      </c>
      <c r="G354" t="s">
        <v>11</v>
      </c>
      <c r="H354" s="1" t="str">
        <f>HYPERLINK("http://apps.fcc.gov/ecfs/document/view?id=7520943774","District Comment on E Rate NPRM  (1 page)")</f>
        <v>District Comment on E Rate NPRM  (1 page)</v>
      </c>
      <c r="I354" s="1" t="str">
        <f>HYPERLINK("http://apps.fcc.gov/ecfs/document/view?id=7520943775","District Comment on E Rate NPRM  (1 page)")</f>
        <v>District Comment on E Rate NPRM  (1 page)</v>
      </c>
    </row>
    <row r="355" spans="1:8" ht="12.75">
      <c r="A355" t="s">
        <v>6</v>
      </c>
      <c r="B355" t="s">
        <v>325</v>
      </c>
      <c r="D355" t="s">
        <v>21</v>
      </c>
      <c r="E355" t="s">
        <v>21</v>
      </c>
      <c r="F355" t="s">
        <v>10</v>
      </c>
      <c r="G355" t="s">
        <v>11</v>
      </c>
      <c r="H355" s="1" t="str">
        <f>HYPERLINK("http://apps.fcc.gov/ecfs/document/view?id=7520943788","  (3 pages)")</f>
        <v>  (3 pages)</v>
      </c>
    </row>
    <row r="356" spans="1:8" ht="12.75">
      <c r="A356" t="s">
        <v>6</v>
      </c>
      <c r="B356" t="s">
        <v>326</v>
      </c>
      <c r="D356" t="s">
        <v>21</v>
      </c>
      <c r="E356" t="s">
        <v>21</v>
      </c>
      <c r="F356" t="s">
        <v>10</v>
      </c>
      <c r="G356" t="s">
        <v>11</v>
      </c>
      <c r="H356" s="1" t="str">
        <f>HYPERLINK("http://apps.fcc.gov/ecfs/document/view?id=7520943757","  (2 pages)")</f>
        <v>  (2 pages)</v>
      </c>
    </row>
    <row r="357" spans="1:8" ht="12.75">
      <c r="A357" t="s">
        <v>6</v>
      </c>
      <c r="B357" t="s">
        <v>327</v>
      </c>
      <c r="D357" t="s">
        <v>21</v>
      </c>
      <c r="E357" t="s">
        <v>21</v>
      </c>
      <c r="F357" t="s">
        <v>10</v>
      </c>
      <c r="G357" t="s">
        <v>11</v>
      </c>
      <c r="H357" s="1" t="str">
        <f>HYPERLINK("http://apps.fcc.gov/ecfs/document/view?id=7520943767","AFT Comments on E Rate (1 page)")</f>
        <v>AFT Comments on E Rate (1 page)</v>
      </c>
    </row>
    <row r="358" spans="1:8" ht="12.75">
      <c r="A358" t="s">
        <v>6</v>
      </c>
      <c r="B358" t="s">
        <v>328</v>
      </c>
      <c r="D358" t="s">
        <v>21</v>
      </c>
      <c r="E358" t="s">
        <v>21</v>
      </c>
      <c r="F358" t="s">
        <v>10</v>
      </c>
      <c r="G358" t="s">
        <v>11</v>
      </c>
      <c r="H358" s="1" t="str">
        <f>HYPERLINK("http://apps.fcc.gov/ecfs/document/view?id=7520943611","  (18 pages)")</f>
        <v>  (18 pages)</v>
      </c>
    </row>
    <row r="359" spans="1:8" ht="12.75">
      <c r="A359" t="s">
        <v>6</v>
      </c>
      <c r="B359" t="s">
        <v>329</v>
      </c>
      <c r="D359" t="s">
        <v>21</v>
      </c>
      <c r="E359" t="s">
        <v>21</v>
      </c>
      <c r="F359" t="s">
        <v>10</v>
      </c>
      <c r="G359" t="s">
        <v>11</v>
      </c>
      <c r="H359" s="1" t="str">
        <f>HYPERLINK("http://apps.fcc.gov/ecfs/document/view?id=7520943720","  (1 page)")</f>
        <v>  (1 page)</v>
      </c>
    </row>
    <row r="360" spans="1:8" ht="12.75">
      <c r="A360" t="s">
        <v>6</v>
      </c>
      <c r="B360" t="s">
        <v>330</v>
      </c>
      <c r="D360" t="s">
        <v>21</v>
      </c>
      <c r="E360" t="s">
        <v>21</v>
      </c>
      <c r="F360" t="s">
        <v>10</v>
      </c>
      <c r="G360" t="s">
        <v>11</v>
      </c>
      <c r="H360" s="1" t="str">
        <f>HYPERLINK("http://apps.fcc.gov/ecfs/document/view?id=7520943717","  (2 pages)")</f>
        <v>  (2 pages)</v>
      </c>
    </row>
    <row r="361" spans="1:8" ht="12.75">
      <c r="A361" t="s">
        <v>6</v>
      </c>
      <c r="B361" t="s">
        <v>331</v>
      </c>
      <c r="C361" t="s">
        <v>332</v>
      </c>
      <c r="D361" t="s">
        <v>333</v>
      </c>
      <c r="E361" t="s">
        <v>21</v>
      </c>
      <c r="F361" t="s">
        <v>10</v>
      </c>
      <c r="G361" t="s">
        <v>11</v>
      </c>
      <c r="H361" s="1" t="str">
        <f>HYPERLINK("http://apps.fcc.gov/ecfs/document/view?id=7520943497","  (1 page)")</f>
        <v>  (1 page)</v>
      </c>
    </row>
    <row r="362" spans="1:8" ht="12.75">
      <c r="A362" t="s">
        <v>6</v>
      </c>
      <c r="B362" t="s">
        <v>334</v>
      </c>
      <c r="D362" t="s">
        <v>21</v>
      </c>
      <c r="E362" t="s">
        <v>21</v>
      </c>
      <c r="F362" t="s">
        <v>10</v>
      </c>
      <c r="G362" t="s">
        <v>11</v>
      </c>
      <c r="H362" s="1" t="str">
        <f>HYPERLINK("http://apps.fcc.gov/ecfs/document/view?id=7520943710","  (1 page)")</f>
        <v>  (1 page)</v>
      </c>
    </row>
    <row r="363" spans="1:8" ht="12.75">
      <c r="A363" t="s">
        <v>6</v>
      </c>
      <c r="B363" t="s">
        <v>335</v>
      </c>
      <c r="D363" t="s">
        <v>333</v>
      </c>
      <c r="E363" t="s">
        <v>21</v>
      </c>
      <c r="F363" t="s">
        <v>10</v>
      </c>
      <c r="G363" t="s">
        <v>11</v>
      </c>
      <c r="H363" s="1" t="str">
        <f>HYPERLINK("http://apps.fcc.gov/ecfs/document/view?id=7520943496","  (6 pages)")</f>
        <v>  (6 pages)</v>
      </c>
    </row>
    <row r="364" spans="1:8" ht="12.75">
      <c r="A364" t="s">
        <v>6</v>
      </c>
      <c r="B364" t="s">
        <v>336</v>
      </c>
      <c r="D364" t="s">
        <v>21</v>
      </c>
      <c r="E364" t="s">
        <v>21</v>
      </c>
      <c r="F364" t="s">
        <v>10</v>
      </c>
      <c r="G364" t="s">
        <v>11</v>
      </c>
      <c r="H364" s="1" t="str">
        <f>HYPERLINK("http://apps.fcc.gov/ecfs/document/view?id=7520943657","Universal Academy District Comment on NPRM changes to Email and Web Hosting (1 page)")</f>
        <v>Universal Academy District Comment on NPRM changes to Email and Web Hosting (1 page)</v>
      </c>
    </row>
    <row r="365" spans="1:8" ht="12.75">
      <c r="A365" t="s">
        <v>6</v>
      </c>
      <c r="B365" t="s">
        <v>337</v>
      </c>
      <c r="D365" t="s">
        <v>333</v>
      </c>
      <c r="E365" t="s">
        <v>21</v>
      </c>
      <c r="F365" t="s">
        <v>10</v>
      </c>
      <c r="G365" t="s">
        <v>11</v>
      </c>
      <c r="H365" s="1" t="str">
        <f>HYPERLINK("http://apps.fcc.gov/ecfs/document/view?id=7520943490","TelePacific E Rate Comments (6 pages)")</f>
        <v>TelePacific E Rate Comments (6 pages)</v>
      </c>
    </row>
    <row r="366" spans="1:8" ht="12.75">
      <c r="A366" t="s">
        <v>6</v>
      </c>
      <c r="B366" t="s">
        <v>338</v>
      </c>
      <c r="D366" t="s">
        <v>333</v>
      </c>
      <c r="E366" t="s">
        <v>21</v>
      </c>
      <c r="F366" t="s">
        <v>10</v>
      </c>
      <c r="G366" t="s">
        <v>11</v>
      </c>
      <c r="H366" s="1" t="str">
        <f>HYPERLINK("http://apps.fcc.gov/ecfs/document/view?id=7520943489","ERate Letter from Tricia Louis Wonewoc Union Center School District (1 page)")</f>
        <v>ERate Letter from Tricia Louis Wonewoc Union Center School District (1 page)</v>
      </c>
    </row>
    <row r="367" spans="1:8" ht="12.75">
      <c r="A367" t="s">
        <v>6</v>
      </c>
      <c r="B367" t="s">
        <v>339</v>
      </c>
      <c r="D367" t="s">
        <v>21</v>
      </c>
      <c r="E367" t="s">
        <v>21</v>
      </c>
      <c r="F367" t="s">
        <v>10</v>
      </c>
      <c r="G367" t="s">
        <v>11</v>
      </c>
      <c r="H367" s="1" t="str">
        <f>HYPERLINK("http://apps.fcc.gov/ecfs/document/view?id=7520943750","  (1 page)")</f>
        <v>  (1 page)</v>
      </c>
    </row>
    <row r="368" spans="1:8" ht="12.75">
      <c r="A368" t="s">
        <v>6</v>
      </c>
      <c r="B368" t="s">
        <v>340</v>
      </c>
      <c r="D368" t="s">
        <v>333</v>
      </c>
      <c r="E368" t="s">
        <v>21</v>
      </c>
      <c r="F368" t="s">
        <v>10</v>
      </c>
      <c r="G368" t="s">
        <v>11</v>
      </c>
      <c r="H368" s="1" t="str">
        <f>HYPERLINK("http://apps.fcc.gov/ecfs/document/view?id=7520943463","  (1 page)")</f>
        <v>  (1 page)</v>
      </c>
    </row>
    <row r="369" spans="1:13" ht="12.75">
      <c r="A369" t="s">
        <v>6</v>
      </c>
      <c r="B369" t="s">
        <v>270</v>
      </c>
      <c r="C369" t="s">
        <v>271</v>
      </c>
      <c r="D369" t="s">
        <v>21</v>
      </c>
      <c r="E369" t="s">
        <v>21</v>
      </c>
      <c r="F369" t="s">
        <v>341</v>
      </c>
      <c r="G369" t="s">
        <v>342</v>
      </c>
      <c r="H369" s="1" t="str">
        <f>HYPERLINK("http://apps.fcc.gov/ecfs/document/view?id=7520943539","  (2 pages)")</f>
        <v>  (2 pages)</v>
      </c>
      <c r="I369" s="1" t="str">
        <f>HYPERLINK("http://apps.fcc.gov/ecfs/document/view?id=7520943540","  (4 pages)")</f>
        <v>  (4 pages)</v>
      </c>
      <c r="J369" s="1" t="str">
        <f>HYPERLINK("http://apps.fcc.gov/ecfs/document/view?id=7520943541","  (11 pages)")</f>
        <v>  (11 pages)</v>
      </c>
      <c r="K369" s="1" t="str">
        <f>HYPERLINK("http://apps.fcc.gov/ecfs/document/view?id=7520943542","  (15 pages)")</f>
        <v>  (15 pages)</v>
      </c>
      <c r="L369" s="1" t="str">
        <f>HYPERLINK("http://apps.fcc.gov/ecfs/document/view?id=7520943543","  (8 pages)")</f>
        <v>  (8 pages)</v>
      </c>
      <c r="M369" s="1" t="str">
        <f>HYPERLINK("http://apps.fcc.gov/ecfs/document/view?id=7520943544","  (2 pages)")</f>
        <v>  (2 pages)</v>
      </c>
    </row>
    <row r="370" spans="1:13" ht="12.75">
      <c r="A370" t="s">
        <v>6</v>
      </c>
      <c r="B370" t="s">
        <v>270</v>
      </c>
      <c r="C370" t="s">
        <v>271</v>
      </c>
      <c r="D370" t="s">
        <v>21</v>
      </c>
      <c r="E370" t="s">
        <v>21</v>
      </c>
      <c r="F370" t="s">
        <v>341</v>
      </c>
      <c r="G370" t="s">
        <v>342</v>
      </c>
      <c r="H370" s="1" t="str">
        <f>HYPERLINK("http://apps.fcc.gov/ecfs/document/view?id=7520943533","  (1 page)")</f>
        <v>  (1 page)</v>
      </c>
      <c r="I370" s="1" t="str">
        <f>HYPERLINK("http://apps.fcc.gov/ecfs/document/view?id=7520943534","  (4 pages)")</f>
        <v>  (4 pages)</v>
      </c>
      <c r="J370" s="1" t="str">
        <f>HYPERLINK("http://apps.fcc.gov/ecfs/document/view?id=7520943535","  (11 pages)")</f>
        <v>  (11 pages)</v>
      </c>
      <c r="K370" s="1" t="str">
        <f>HYPERLINK("http://apps.fcc.gov/ecfs/document/view?id=7520943536","  (15 pages)")</f>
        <v>  (15 pages)</v>
      </c>
      <c r="L370" s="1" t="str">
        <f>HYPERLINK("http://apps.fcc.gov/ecfs/document/view?id=7520943537","  (8 pages)")</f>
        <v>  (8 pages)</v>
      </c>
      <c r="M370" s="1" t="str">
        <f>HYPERLINK("http://apps.fcc.gov/ecfs/document/view?id=7520943538","  (2 pages)")</f>
        <v>  (2 pages)</v>
      </c>
    </row>
    <row r="371" spans="1:13" ht="12.75">
      <c r="A371" t="s">
        <v>6</v>
      </c>
      <c r="B371" t="s">
        <v>270</v>
      </c>
      <c r="C371" t="s">
        <v>271</v>
      </c>
      <c r="D371" t="s">
        <v>21</v>
      </c>
      <c r="E371" t="s">
        <v>21</v>
      </c>
      <c r="F371" t="s">
        <v>341</v>
      </c>
      <c r="G371" t="s">
        <v>342</v>
      </c>
      <c r="H371" s="1" t="str">
        <f>HYPERLINK("http://apps.fcc.gov/ecfs/document/view?id=7520943527","  (1 page)")</f>
        <v>  (1 page)</v>
      </c>
      <c r="I371" s="1" t="str">
        <f>HYPERLINK("http://apps.fcc.gov/ecfs/document/view?id=7520943528","  (4 pages)")</f>
        <v>  (4 pages)</v>
      </c>
      <c r="J371" s="1" t="str">
        <f>HYPERLINK("http://apps.fcc.gov/ecfs/document/view?id=7520943529","  (11 pages)")</f>
        <v>  (11 pages)</v>
      </c>
      <c r="K371" s="1" t="str">
        <f>HYPERLINK("http://apps.fcc.gov/ecfs/document/view?id=7520943530","  (15 pages)")</f>
        <v>  (15 pages)</v>
      </c>
      <c r="L371" s="1" t="str">
        <f>HYPERLINK("http://apps.fcc.gov/ecfs/document/view?id=7520943531","  (8 pages)")</f>
        <v>  (8 pages)</v>
      </c>
      <c r="M371" s="1" t="str">
        <f>HYPERLINK("http://apps.fcc.gov/ecfs/document/view?id=7520943532","  (2 pages)")</f>
        <v>  (2 pages)</v>
      </c>
    </row>
    <row r="372" spans="1:13" ht="12.75">
      <c r="A372" t="s">
        <v>6</v>
      </c>
      <c r="B372" t="s">
        <v>270</v>
      </c>
      <c r="C372" t="s">
        <v>271</v>
      </c>
      <c r="D372" t="s">
        <v>21</v>
      </c>
      <c r="E372" t="s">
        <v>21</v>
      </c>
      <c r="F372" t="s">
        <v>341</v>
      </c>
      <c r="G372" t="s">
        <v>342</v>
      </c>
      <c r="H372" s="1" t="str">
        <f>HYPERLINK("http://apps.fcc.gov/ecfs/document/view?id=7520943521","  (1 page)")</f>
        <v>  (1 page)</v>
      </c>
      <c r="I372" s="1" t="str">
        <f>HYPERLINK("http://apps.fcc.gov/ecfs/document/view?id=7520943522","  (4 pages)")</f>
        <v>  (4 pages)</v>
      </c>
      <c r="J372" s="1" t="str">
        <f>HYPERLINK("http://apps.fcc.gov/ecfs/document/view?id=7520943523","  (11 pages)")</f>
        <v>  (11 pages)</v>
      </c>
      <c r="K372" s="1" t="str">
        <f>HYPERLINK("http://apps.fcc.gov/ecfs/document/view?id=7520943524","  (15 pages)")</f>
        <v>  (15 pages)</v>
      </c>
      <c r="L372" s="1" t="str">
        <f>HYPERLINK("http://apps.fcc.gov/ecfs/document/view?id=7520943525","  (8 pages)")</f>
        <v>  (8 pages)</v>
      </c>
      <c r="M372" s="1" t="str">
        <f>HYPERLINK("http://apps.fcc.gov/ecfs/document/view?id=7520943526","  (2 pages)")</f>
        <v>  (2 pages)</v>
      </c>
    </row>
    <row r="373" spans="1:8" ht="12.75">
      <c r="A373" t="s">
        <v>6</v>
      </c>
      <c r="B373" t="s">
        <v>343</v>
      </c>
      <c r="D373" t="s">
        <v>21</v>
      </c>
      <c r="E373" t="s">
        <v>21</v>
      </c>
      <c r="F373" t="s">
        <v>10</v>
      </c>
      <c r="G373" t="s">
        <v>11</v>
      </c>
      <c r="H373" s="1" t="str">
        <f>HYPERLINK("http://apps.fcc.gov/ecfs/document/view?id=7520943618","  (2 pages)")</f>
        <v>  (2 pages)</v>
      </c>
    </row>
    <row r="374" spans="1:8" ht="12.75">
      <c r="A374" t="s">
        <v>6</v>
      </c>
      <c r="B374" t="s">
        <v>344</v>
      </c>
      <c r="D374" t="s">
        <v>21</v>
      </c>
      <c r="E374" t="s">
        <v>21</v>
      </c>
      <c r="F374" t="s">
        <v>10</v>
      </c>
      <c r="G374" t="s">
        <v>11</v>
      </c>
      <c r="H374" s="1" t="str">
        <f>HYPERLINK("http://apps.fcc.gov/ecfs/document/view?id=7520943640","  (4 pages)")</f>
        <v>  (4 pages)</v>
      </c>
    </row>
    <row r="375" spans="1:8" ht="12.75">
      <c r="A375" t="s">
        <v>6</v>
      </c>
      <c r="B375" t="s">
        <v>77</v>
      </c>
      <c r="D375" t="s">
        <v>21</v>
      </c>
      <c r="E375" t="s">
        <v>21</v>
      </c>
      <c r="F375" t="s">
        <v>10</v>
      </c>
      <c r="G375" t="s">
        <v>11</v>
      </c>
      <c r="H375" s="1" t="str">
        <f>HYPERLINK("http://apps.fcc.gov/ecfs/document/view?id=7520943564","  (18 pages)")</f>
        <v>  (18 pages)</v>
      </c>
    </row>
    <row r="376" spans="1:8" ht="12.75">
      <c r="A376" t="s">
        <v>6</v>
      </c>
      <c r="B376" t="s">
        <v>345</v>
      </c>
      <c r="D376" t="s">
        <v>333</v>
      </c>
      <c r="E376" t="s">
        <v>21</v>
      </c>
      <c r="F376" t="s">
        <v>10</v>
      </c>
      <c r="G376" t="s">
        <v>11</v>
      </c>
      <c r="H376" s="1" t="str">
        <f>HYPERLINK("http://apps.fcc.gov/ecfs/document/view?id=7520943472","  (1 page)")</f>
        <v>  (1 page)</v>
      </c>
    </row>
    <row r="377" spans="1:8" ht="12.75">
      <c r="A377" t="s">
        <v>6</v>
      </c>
      <c r="B377" t="s">
        <v>346</v>
      </c>
      <c r="D377" t="s">
        <v>21</v>
      </c>
      <c r="E377" t="s">
        <v>21</v>
      </c>
      <c r="F377" t="s">
        <v>10</v>
      </c>
      <c r="G377" t="s">
        <v>11</v>
      </c>
      <c r="H377" s="1" t="str">
        <f>HYPERLINK("http://apps.fcc.gov/ecfs/document/view?id=7520943634","  (6 pages)")</f>
        <v>  (6 pages)</v>
      </c>
    </row>
    <row r="378" spans="1:8" ht="12.75">
      <c r="A378" t="s">
        <v>6</v>
      </c>
      <c r="B378" t="s">
        <v>347</v>
      </c>
      <c r="D378" t="s">
        <v>21</v>
      </c>
      <c r="E378" t="s">
        <v>21</v>
      </c>
      <c r="F378" t="s">
        <v>10</v>
      </c>
      <c r="G378" t="s">
        <v>11</v>
      </c>
      <c r="H378" s="1" t="str">
        <f>HYPERLINK("http://apps.fcc.gov/ecfs/document/view?id=7520943665"," (1 page)")</f>
        <v> (1 page)</v>
      </c>
    </row>
    <row r="379" spans="1:8" ht="12.75">
      <c r="A379" t="s">
        <v>6</v>
      </c>
      <c r="B379" t="s">
        <v>348</v>
      </c>
      <c r="D379" t="s">
        <v>333</v>
      </c>
      <c r="E379" t="s">
        <v>21</v>
      </c>
      <c r="F379" t="s">
        <v>10</v>
      </c>
      <c r="G379" t="s">
        <v>11</v>
      </c>
      <c r="H379" s="1" t="str">
        <f>HYPERLINK("http://apps.fcc.gov/ecfs/document/view?id=7520943465","  (1 page)")</f>
        <v>  (1 page)</v>
      </c>
    </row>
    <row r="380" spans="1:8" ht="12.75">
      <c r="A380" t="s">
        <v>6</v>
      </c>
      <c r="B380" t="s">
        <v>349</v>
      </c>
      <c r="D380" t="s">
        <v>21</v>
      </c>
      <c r="E380" t="s">
        <v>21</v>
      </c>
      <c r="F380" t="s">
        <v>10</v>
      </c>
      <c r="G380" t="s">
        <v>11</v>
      </c>
      <c r="H380" s="1" t="str">
        <f>HYPERLINK("http://apps.fcc.gov/ecfs/document/view?id=7520943624","Vermont EPSCoR WC 13 184 Comment (3 pages)")</f>
        <v>Vermont EPSCoR WC 13 184 Comment (3 pages)</v>
      </c>
    </row>
    <row r="381" spans="1:8" ht="12.75">
      <c r="A381" t="s">
        <v>6</v>
      </c>
      <c r="B381" t="s">
        <v>350</v>
      </c>
      <c r="D381" t="s">
        <v>21</v>
      </c>
      <c r="E381" t="s">
        <v>21</v>
      </c>
      <c r="F381" t="s">
        <v>10</v>
      </c>
      <c r="G381" t="s">
        <v>11</v>
      </c>
      <c r="H381" s="1" t="str">
        <f>HYPERLINK("http://apps.fcc.gov/ecfs/document/view?id=7520943685","Comments from the Office of Educational Technology at the New Hampshire Departme (2 pages)")</f>
        <v>Comments from the Office of Educational Technology at the New Hampshire Departme (2 pages)</v>
      </c>
    </row>
    <row r="382" spans="1:8" ht="12.75">
      <c r="A382" t="s">
        <v>6</v>
      </c>
      <c r="B382" t="s">
        <v>351</v>
      </c>
      <c r="D382" t="s">
        <v>21</v>
      </c>
      <c r="E382" t="s">
        <v>21</v>
      </c>
      <c r="F382" t="s">
        <v>10</v>
      </c>
      <c r="G382" t="s">
        <v>11</v>
      </c>
      <c r="H382" s="1" t="str">
        <f>HYPERLINK("http://apps.fcc.gov/ecfs/document/view?id=7520943646","AESD Comment on NPRM changes to Email and Web Hosting (2 pages)")</f>
        <v>AESD Comment on NPRM changes to Email and Web Hosting (2 pages)</v>
      </c>
    </row>
    <row r="383" spans="1:8" ht="12.75">
      <c r="A383" t="s">
        <v>6</v>
      </c>
      <c r="B383" t="s">
        <v>352</v>
      </c>
      <c r="D383" t="s">
        <v>21</v>
      </c>
      <c r="E383" t="s">
        <v>21</v>
      </c>
      <c r="F383" t="s">
        <v>10</v>
      </c>
      <c r="G383" t="s">
        <v>11</v>
      </c>
      <c r="H383" s="1" t="str">
        <f>HYPERLINK("http://apps.fcc.gov/ecfs/document/view?id=7520943672","Initial Comments from NASUCA Re IMO Modernizing E rate Program WC Docket 13 184 (14 pages)")</f>
        <v>Initial Comments from NASUCA Re IMO Modernizing E rate Program WC Docket 13 184 (14 pages)</v>
      </c>
    </row>
    <row r="384" spans="1:8" ht="12.75">
      <c r="A384" t="s">
        <v>6</v>
      </c>
      <c r="B384" t="s">
        <v>353</v>
      </c>
      <c r="C384" t="s">
        <v>354</v>
      </c>
      <c r="D384" t="s">
        <v>21</v>
      </c>
      <c r="E384" t="s">
        <v>21</v>
      </c>
      <c r="F384" t="s">
        <v>10</v>
      </c>
      <c r="G384" t="s">
        <v>11</v>
      </c>
      <c r="H384" s="1" t="str">
        <f>HYPERLINK("http://apps.fcc.gov/ecfs/document/view?id=7520943623","  (42 pages)")</f>
        <v>  (42 pages)</v>
      </c>
    </row>
    <row r="385" spans="1:8" ht="12.75">
      <c r="A385" t="s">
        <v>6</v>
      </c>
      <c r="B385" t="s">
        <v>355</v>
      </c>
      <c r="D385" t="s">
        <v>21</v>
      </c>
      <c r="E385" t="s">
        <v>21</v>
      </c>
      <c r="F385" t="s">
        <v>10</v>
      </c>
      <c r="G385" t="s">
        <v>11</v>
      </c>
      <c r="H385" s="1" t="str">
        <f>HYPERLINK("http://apps.fcc.gov/ecfs/document/view?id=7520943681"," (1 page)")</f>
        <v> (1 page)</v>
      </c>
    </row>
    <row r="386" spans="1:8" ht="12.75">
      <c r="A386" t="s">
        <v>6</v>
      </c>
      <c r="B386" t="s">
        <v>356</v>
      </c>
      <c r="D386" t="s">
        <v>21</v>
      </c>
      <c r="E386" t="s">
        <v>21</v>
      </c>
      <c r="F386" t="s">
        <v>10</v>
      </c>
      <c r="G386" t="s">
        <v>11</v>
      </c>
      <c r="H386" s="1" t="str">
        <f>HYPERLINK("http://apps.fcc.gov/ecfs/document/view?id=7520943718","Merit s e rate NPRM Response (10 pages)")</f>
        <v>Merit s e rate NPRM Response (10 pages)</v>
      </c>
    </row>
    <row r="387" spans="1:8" ht="12.75">
      <c r="A387" t="s">
        <v>6</v>
      </c>
      <c r="B387" t="s">
        <v>357</v>
      </c>
      <c r="D387" t="s">
        <v>333</v>
      </c>
      <c r="E387" t="s">
        <v>21</v>
      </c>
      <c r="F387" t="s">
        <v>10</v>
      </c>
      <c r="G387" t="s">
        <v>11</v>
      </c>
      <c r="H387" s="1" t="str">
        <f>HYPERLINK("http://apps.fcc.gov/ecfs/document/view?id=7520943483","Menifee USD Comments (1 page)")</f>
        <v>Menifee USD Comments (1 page)</v>
      </c>
    </row>
    <row r="388" spans="1:8" ht="12.75">
      <c r="A388" t="s">
        <v>6</v>
      </c>
      <c r="B388" t="s">
        <v>358</v>
      </c>
      <c r="D388" t="s">
        <v>21</v>
      </c>
      <c r="E388" t="s">
        <v>21</v>
      </c>
      <c r="F388" t="s">
        <v>10</v>
      </c>
      <c r="G388" t="s">
        <v>11</v>
      </c>
      <c r="H388" s="1" t="str">
        <f>HYPERLINK("http://apps.fcc.gov/ecfs/document/view?id=7520943712"," (1 page)")</f>
        <v> (1 page)</v>
      </c>
    </row>
    <row r="389" spans="1:8" ht="12.75">
      <c r="A389" t="s">
        <v>6</v>
      </c>
      <c r="B389" t="s">
        <v>359</v>
      </c>
      <c r="D389" t="s">
        <v>333</v>
      </c>
      <c r="E389" t="s">
        <v>21</v>
      </c>
      <c r="F389" t="s">
        <v>10</v>
      </c>
      <c r="G389" t="s">
        <v>11</v>
      </c>
      <c r="H389" s="1" t="str">
        <f>HYPERLINK("http://apps.fcc.gov/ecfs/document/view?id=7520943480","Canutillo ISD Comment (1 page)")</f>
        <v>Canutillo ISD Comment (1 page)</v>
      </c>
    </row>
    <row r="390" spans="1:8" ht="12.75">
      <c r="A390" t="s">
        <v>6</v>
      </c>
      <c r="B390" t="s">
        <v>360</v>
      </c>
      <c r="D390" t="s">
        <v>333</v>
      </c>
      <c r="E390" t="s">
        <v>21</v>
      </c>
      <c r="F390" t="s">
        <v>10</v>
      </c>
      <c r="G390" t="s">
        <v>11</v>
      </c>
      <c r="H390" s="1" t="str">
        <f>HYPERLINK("http://apps.fcc.gov/ecfs/document/view?id=7520943448","  (1 page)")</f>
        <v>  (1 page)</v>
      </c>
    </row>
    <row r="391" spans="1:8" ht="12.75">
      <c r="A391" t="s">
        <v>6</v>
      </c>
      <c r="B391" t="s">
        <v>361</v>
      </c>
      <c r="D391" t="s">
        <v>333</v>
      </c>
      <c r="E391" t="s">
        <v>21</v>
      </c>
      <c r="F391" t="s">
        <v>10</v>
      </c>
      <c r="G391" t="s">
        <v>11</v>
      </c>
      <c r="H391" s="1" t="str">
        <f>HYPERLINK("http://apps.fcc.gov/ecfs/document/view?id=7520943468","  (1 page)")</f>
        <v>  (1 page)</v>
      </c>
    </row>
    <row r="392" spans="1:8" ht="12.75">
      <c r="A392" t="s">
        <v>6</v>
      </c>
      <c r="B392" t="s">
        <v>362</v>
      </c>
      <c r="D392" t="s">
        <v>21</v>
      </c>
      <c r="E392" t="s">
        <v>21</v>
      </c>
      <c r="F392" t="s">
        <v>10</v>
      </c>
      <c r="G392" t="s">
        <v>11</v>
      </c>
      <c r="H392" s="1" t="str">
        <f>HYPERLINK("http://apps.fcc.gov/ecfs/document/view?id=7520943621"," (1 page)")</f>
        <v> (1 page)</v>
      </c>
    </row>
    <row r="393" spans="1:8" ht="12.75">
      <c r="A393" t="s">
        <v>6</v>
      </c>
      <c r="B393" t="s">
        <v>363</v>
      </c>
      <c r="D393" t="s">
        <v>333</v>
      </c>
      <c r="E393" t="s">
        <v>21</v>
      </c>
      <c r="F393" t="s">
        <v>10</v>
      </c>
      <c r="G393" t="s">
        <v>11</v>
      </c>
      <c r="H393" s="1" t="str">
        <f>HYPERLINK("http://apps.fcc.gov/ecfs/document/view?id=7520943475","Charter Schools and E rate (2 pages)")</f>
        <v>Charter Schools and E rate (2 pages)</v>
      </c>
    </row>
    <row r="394" spans="1:8" ht="12.75">
      <c r="A394" t="s">
        <v>6</v>
      </c>
      <c r="B394" t="s">
        <v>364</v>
      </c>
      <c r="D394" t="s">
        <v>21</v>
      </c>
      <c r="E394" t="s">
        <v>21</v>
      </c>
      <c r="F394" t="s">
        <v>10</v>
      </c>
      <c r="G394" t="s">
        <v>11</v>
      </c>
      <c r="H394" s="1" t="str">
        <f>HYPERLINK("http://apps.fcc.gov/ecfs/document/view?id=7520943716","BUSD Comment on 13 184 (2 pages)")</f>
        <v>BUSD Comment on 13 184 (2 pages)</v>
      </c>
    </row>
    <row r="395" spans="1:8" ht="12.75">
      <c r="A395" t="s">
        <v>6</v>
      </c>
      <c r="B395" t="s">
        <v>365</v>
      </c>
      <c r="D395" t="s">
        <v>21</v>
      </c>
      <c r="E395" t="s">
        <v>21</v>
      </c>
      <c r="F395" t="s">
        <v>10</v>
      </c>
      <c r="G395" t="s">
        <v>11</v>
      </c>
      <c r="H395" s="1" t="str">
        <f>HYPERLINK("http://apps.fcc.gov/ecfs/document/view?id=7520943642","  (3 pages)")</f>
        <v>  (3 pages)</v>
      </c>
    </row>
    <row r="396" spans="1:8" ht="12.75">
      <c r="A396" t="s">
        <v>6</v>
      </c>
      <c r="B396" t="s">
        <v>366</v>
      </c>
      <c r="D396" t="s">
        <v>333</v>
      </c>
      <c r="E396" t="s">
        <v>21</v>
      </c>
      <c r="F396" t="s">
        <v>10</v>
      </c>
      <c r="G396" t="s">
        <v>11</v>
      </c>
      <c r="H396" s="1" t="str">
        <f>HYPERLINK("http://apps.fcc.gov/ecfs/document/view?id=7520943450","  (1 page)")</f>
        <v>  (1 page)</v>
      </c>
    </row>
    <row r="397" spans="1:8" ht="12.75">
      <c r="A397" t="s">
        <v>6</v>
      </c>
      <c r="B397" t="s">
        <v>367</v>
      </c>
      <c r="D397" t="s">
        <v>21</v>
      </c>
      <c r="E397" t="s">
        <v>21</v>
      </c>
      <c r="F397" t="s">
        <v>10</v>
      </c>
      <c r="G397" t="s">
        <v>11</v>
      </c>
      <c r="H397" s="1" t="str">
        <f>HYPERLINK("http://apps.fcc.gov/ecfs/document/view?id=7520943619","  (14 pages)")</f>
        <v>  (14 pages)</v>
      </c>
    </row>
    <row r="398" spans="1:8" ht="12.75">
      <c r="A398" t="s">
        <v>6</v>
      </c>
      <c r="B398" t="s">
        <v>368</v>
      </c>
      <c r="D398" t="s">
        <v>21</v>
      </c>
      <c r="E398" t="s">
        <v>21</v>
      </c>
      <c r="F398" t="s">
        <v>10</v>
      </c>
      <c r="G398" t="s">
        <v>11</v>
      </c>
      <c r="H398" s="1" t="str">
        <f>HYPERLINK("http://apps.fcc.gov/ecfs/document/view?id=7520943660","  (1 page)")</f>
        <v>  (1 page)</v>
      </c>
    </row>
    <row r="399" spans="1:8" ht="12.75">
      <c r="A399" t="s">
        <v>6</v>
      </c>
      <c r="B399" t="s">
        <v>368</v>
      </c>
      <c r="D399" t="s">
        <v>333</v>
      </c>
      <c r="E399" t="s">
        <v>21</v>
      </c>
      <c r="F399" t="s">
        <v>10</v>
      </c>
      <c r="G399" t="s">
        <v>11</v>
      </c>
      <c r="H399" s="1" t="str">
        <f>HYPERLINK("http://apps.fcc.gov/ecfs/document/view?id=7520943467","  (1 page)")</f>
        <v>  (1 page)</v>
      </c>
    </row>
    <row r="400" spans="1:8" ht="12.75">
      <c r="A400" t="s">
        <v>6</v>
      </c>
      <c r="B400" t="s">
        <v>369</v>
      </c>
      <c r="D400" t="s">
        <v>21</v>
      </c>
      <c r="E400" t="s">
        <v>21</v>
      </c>
      <c r="F400" t="s">
        <v>10</v>
      </c>
      <c r="G400" t="s">
        <v>11</v>
      </c>
      <c r="H400" s="1" t="str">
        <f>HYPERLINK("http://apps.fcc.gov/ecfs/document/view?id=7520943591"," (1 page)")</f>
        <v> (1 page)</v>
      </c>
    </row>
    <row r="401" spans="1:8" ht="12.75">
      <c r="A401" t="s">
        <v>6</v>
      </c>
      <c r="B401" t="s">
        <v>370</v>
      </c>
      <c r="D401" t="s">
        <v>21</v>
      </c>
      <c r="E401" t="s">
        <v>21</v>
      </c>
      <c r="F401" t="s">
        <v>10</v>
      </c>
      <c r="G401" t="s">
        <v>11</v>
      </c>
      <c r="H401" s="1" t="str">
        <f>HYPERLINK("http://apps.fcc.gov/ecfs/document/view?id=7520943625","  (1 page)")</f>
        <v>  (1 page)</v>
      </c>
    </row>
    <row r="402" spans="1:8" ht="12.75">
      <c r="A402" t="s">
        <v>6</v>
      </c>
      <c r="B402" t="s">
        <v>371</v>
      </c>
      <c r="D402" t="s">
        <v>21</v>
      </c>
      <c r="E402" t="s">
        <v>21</v>
      </c>
      <c r="F402" t="s">
        <v>10</v>
      </c>
      <c r="G402" t="s">
        <v>11</v>
      </c>
      <c r="H402" s="1" t="str">
        <f>HYPERLINK("http://apps.fcc.gov/ecfs/document/view?id=7520943749","  (2 pages)")</f>
        <v>  (2 pages)</v>
      </c>
    </row>
    <row r="403" spans="1:8" ht="12.75">
      <c r="A403" t="s">
        <v>6</v>
      </c>
      <c r="B403" t="s">
        <v>372</v>
      </c>
      <c r="D403" t="s">
        <v>21</v>
      </c>
      <c r="E403" t="s">
        <v>21</v>
      </c>
      <c r="F403" t="s">
        <v>10</v>
      </c>
      <c r="G403" t="s">
        <v>11</v>
      </c>
      <c r="H403" s="1" t="str">
        <f>HYPERLINK("http://apps.fcc.gov/ecfs/document/view?id=7520943673","  (15 pages)")</f>
        <v>  (15 pages)</v>
      </c>
    </row>
    <row r="404" spans="1:8" ht="12.75">
      <c r="A404" t="s">
        <v>6</v>
      </c>
      <c r="B404" t="s">
        <v>373</v>
      </c>
      <c r="D404" t="s">
        <v>21</v>
      </c>
      <c r="E404" t="s">
        <v>21</v>
      </c>
      <c r="F404" t="s">
        <v>10</v>
      </c>
      <c r="G404" t="s">
        <v>11</v>
      </c>
      <c r="H404" s="1" t="str">
        <f>HYPERLINK("http://apps.fcc.gov/ecfs/document/view?id=7520943650","E Rate Consultants LLC Comment on E Rate NPRM  (4 pages)")</f>
        <v>E Rate Consultants LLC Comment on E Rate NPRM  (4 pages)</v>
      </c>
    </row>
    <row r="405" spans="1:8" ht="12.75">
      <c r="A405" t="s">
        <v>6</v>
      </c>
      <c r="B405" t="s">
        <v>374</v>
      </c>
      <c r="D405" t="s">
        <v>21</v>
      </c>
      <c r="E405" t="s">
        <v>21</v>
      </c>
      <c r="F405" t="s">
        <v>10</v>
      </c>
      <c r="G405" t="s">
        <v>11</v>
      </c>
      <c r="H405" s="1" t="str">
        <f>HYPERLINK("http://apps.fcc.gov/ecfs/document/view?id=7520943700","  (3 pages)")</f>
        <v>  (3 pages)</v>
      </c>
    </row>
    <row r="406" spans="1:8" ht="12.75">
      <c r="A406" t="s">
        <v>6</v>
      </c>
      <c r="B406" t="s">
        <v>375</v>
      </c>
      <c r="D406" t="s">
        <v>21</v>
      </c>
      <c r="E406" t="s">
        <v>21</v>
      </c>
      <c r="F406" t="s">
        <v>10</v>
      </c>
      <c r="G406" t="s">
        <v>11</v>
      </c>
      <c r="H406" s="1" t="str">
        <f>HYPERLINK("http://apps.fcc.gov/ecfs/document/view?id=7520943677","  (4 pages)")</f>
        <v>  (4 pages)</v>
      </c>
    </row>
    <row r="407" spans="1:8" ht="12.75">
      <c r="A407" t="s">
        <v>6</v>
      </c>
      <c r="B407" t="s">
        <v>376</v>
      </c>
      <c r="D407" t="s">
        <v>333</v>
      </c>
      <c r="E407" t="s">
        <v>21</v>
      </c>
      <c r="F407" t="s">
        <v>10</v>
      </c>
      <c r="G407" t="s">
        <v>11</v>
      </c>
      <c r="H407" s="1" t="str">
        <f>HYPERLINK("http://apps.fcc.gov/ecfs/document/view?id=7520943466"," (2 pages)")</f>
        <v> (2 pages)</v>
      </c>
    </row>
    <row r="408" spans="1:8" ht="12.75">
      <c r="A408" t="s">
        <v>6</v>
      </c>
      <c r="B408" t="s">
        <v>377</v>
      </c>
      <c r="C408" t="s">
        <v>378</v>
      </c>
      <c r="D408" t="s">
        <v>333</v>
      </c>
      <c r="E408" t="s">
        <v>21</v>
      </c>
      <c r="F408" t="s">
        <v>10</v>
      </c>
      <c r="G408" t="s">
        <v>11</v>
      </c>
      <c r="H408" s="1" t="str">
        <f>HYPERLINK("http://apps.fcc.gov/ecfs/document/view?id=7520943451","  (2 pages)")</f>
        <v>  (2 pages)</v>
      </c>
    </row>
    <row r="409" spans="1:8" ht="12.75">
      <c r="A409" t="s">
        <v>6</v>
      </c>
      <c r="B409" t="s">
        <v>379</v>
      </c>
      <c r="D409" t="s">
        <v>333</v>
      </c>
      <c r="E409" t="s">
        <v>21</v>
      </c>
      <c r="F409" t="s">
        <v>10</v>
      </c>
      <c r="G409" t="s">
        <v>11</v>
      </c>
      <c r="H409" s="1" t="str">
        <f>HYPERLINK("http://apps.fcc.gov/ecfs/document/view?id=7520943459","  (1 page)")</f>
        <v>  (1 page)</v>
      </c>
    </row>
    <row r="410" spans="1:8" ht="12.75">
      <c r="A410" t="s">
        <v>6</v>
      </c>
      <c r="B410" t="s">
        <v>380</v>
      </c>
      <c r="D410" t="s">
        <v>333</v>
      </c>
      <c r="E410" t="s">
        <v>21</v>
      </c>
      <c r="F410" t="s">
        <v>10</v>
      </c>
      <c r="G410" t="s">
        <v>11</v>
      </c>
      <c r="H410" s="1" t="str">
        <f>HYPERLINK("http://apps.fcc.gov/ecfs/document/view?id=7520943491","Mary Queen of Apostles School Comment on E Rate NPRM  (1 page)")</f>
        <v>Mary Queen of Apostles School Comment on E Rate NPRM  (1 page)</v>
      </c>
    </row>
    <row r="411" spans="1:8" ht="12.75">
      <c r="A411" t="s">
        <v>6</v>
      </c>
      <c r="B411" t="s">
        <v>381</v>
      </c>
      <c r="D411" t="s">
        <v>21</v>
      </c>
      <c r="E411" t="s">
        <v>21</v>
      </c>
      <c r="F411" t="s">
        <v>10</v>
      </c>
      <c r="G411" t="s">
        <v>11</v>
      </c>
      <c r="H411" s="1" t="str">
        <f>HYPERLINK("http://apps.fcc.gov/ecfs/document/view?id=7520943658","  (9 pages)")</f>
        <v>  (9 pages)</v>
      </c>
    </row>
    <row r="412" spans="1:8" ht="12.75">
      <c r="A412" t="s">
        <v>6</v>
      </c>
      <c r="B412" t="s">
        <v>382</v>
      </c>
      <c r="D412" t="s">
        <v>21</v>
      </c>
      <c r="E412" t="s">
        <v>21</v>
      </c>
      <c r="F412" t="s">
        <v>10</v>
      </c>
      <c r="G412" t="s">
        <v>11</v>
      </c>
      <c r="H412" s="1" t="str">
        <f>HYPERLINK("http://apps.fcc.gov/ecfs/document/view?id=7520943687"," (1 page)")</f>
        <v> (1 page)</v>
      </c>
    </row>
    <row r="413" spans="1:8" ht="12.75">
      <c r="A413" t="s">
        <v>6</v>
      </c>
      <c r="B413" t="s">
        <v>383</v>
      </c>
      <c r="D413" t="s">
        <v>333</v>
      </c>
      <c r="E413" t="s">
        <v>21</v>
      </c>
      <c r="F413" t="s">
        <v>10</v>
      </c>
      <c r="G413" t="s">
        <v>11</v>
      </c>
      <c r="H413" s="1" t="str">
        <f>HYPERLINK("http://apps.fcc.gov/ecfs/document/view?id=7520943500","  (2 pages)")</f>
        <v>  (2 pages)</v>
      </c>
    </row>
    <row r="414" spans="1:8" ht="12.75">
      <c r="A414" t="s">
        <v>6</v>
      </c>
      <c r="B414" t="s">
        <v>384</v>
      </c>
      <c r="D414" t="s">
        <v>333</v>
      </c>
      <c r="E414" t="s">
        <v>21</v>
      </c>
      <c r="F414" t="s">
        <v>10</v>
      </c>
      <c r="G414" t="s">
        <v>11</v>
      </c>
      <c r="H414" s="1" t="str">
        <f>HYPERLINK("http://apps.fcc.gov/ecfs/document/view?id=7520943457","  (1 page)")</f>
        <v>  (1 page)</v>
      </c>
    </row>
    <row r="415" spans="1:8" ht="12.75">
      <c r="A415" t="s">
        <v>6</v>
      </c>
      <c r="B415" t="s">
        <v>385</v>
      </c>
      <c r="D415" t="s">
        <v>333</v>
      </c>
      <c r="E415" t="s">
        <v>21</v>
      </c>
      <c r="F415" t="s">
        <v>10</v>
      </c>
      <c r="G415" t="s">
        <v>11</v>
      </c>
      <c r="H415" s="1" t="str">
        <f>HYPERLINK("http://apps.fcc.gov/ecfs/document/view?id=7520943471","  (1 page)")</f>
        <v>  (1 page)</v>
      </c>
    </row>
    <row r="416" spans="1:8" ht="12.75">
      <c r="A416" t="s">
        <v>6</v>
      </c>
      <c r="B416" t="s">
        <v>386</v>
      </c>
      <c r="D416" t="s">
        <v>333</v>
      </c>
      <c r="E416" t="s">
        <v>21</v>
      </c>
      <c r="F416" t="s">
        <v>10</v>
      </c>
      <c r="G416" t="s">
        <v>11</v>
      </c>
      <c r="H416" s="1" t="str">
        <f>HYPERLINK("http://apps.fcc.gov/ecfs/document/view?id=7520943452","  (1 page)")</f>
        <v>  (1 page)</v>
      </c>
    </row>
    <row r="417" spans="1:8" ht="12.75">
      <c r="A417" t="s">
        <v>6</v>
      </c>
      <c r="B417" t="s">
        <v>387</v>
      </c>
      <c r="D417" t="s">
        <v>21</v>
      </c>
      <c r="E417" t="s">
        <v>21</v>
      </c>
      <c r="F417" t="s">
        <v>10</v>
      </c>
      <c r="G417" t="s">
        <v>11</v>
      </c>
      <c r="H417" s="1" t="str">
        <f>HYPERLINK("http://apps.fcc.gov/ecfs/document/view?id=7520943516","  (6 pages)")</f>
        <v>  (6 pages)</v>
      </c>
    </row>
    <row r="418" spans="1:8" ht="12.75">
      <c r="A418" t="s">
        <v>6</v>
      </c>
      <c r="B418" t="s">
        <v>388</v>
      </c>
      <c r="D418" t="s">
        <v>333</v>
      </c>
      <c r="E418" t="s">
        <v>333</v>
      </c>
      <c r="F418" t="s">
        <v>10</v>
      </c>
      <c r="G418" t="s">
        <v>11</v>
      </c>
      <c r="H418" s="1" t="str">
        <f>HYPERLINK("http://apps.fcc.gov/ecfs/document/view?id=7520943442","  (1 page)")</f>
        <v>  (1 page)</v>
      </c>
    </row>
    <row r="419" spans="1:8" ht="12.75">
      <c r="A419" t="s">
        <v>6</v>
      </c>
      <c r="B419" t="s">
        <v>389</v>
      </c>
      <c r="D419" t="s">
        <v>333</v>
      </c>
      <c r="E419" t="s">
        <v>333</v>
      </c>
      <c r="F419" t="s">
        <v>10</v>
      </c>
      <c r="G419" t="s">
        <v>11</v>
      </c>
      <c r="H419" s="1" t="str">
        <f>HYPERLINK("http://apps.fcc.gov/ecfs/document/view?id=7520943444","  (1 page)")</f>
        <v>  (1 page)</v>
      </c>
    </row>
    <row r="420" spans="1:8" ht="12.75">
      <c r="A420" t="s">
        <v>6</v>
      </c>
      <c r="B420" t="s">
        <v>390</v>
      </c>
      <c r="D420" t="s">
        <v>333</v>
      </c>
      <c r="E420" t="s">
        <v>333</v>
      </c>
      <c r="F420" t="s">
        <v>10</v>
      </c>
      <c r="G420" t="s">
        <v>11</v>
      </c>
      <c r="H420" s="1" t="str">
        <f>HYPERLINK("http://apps.fcc.gov/ecfs/document/view?id=7520943331","  (1 page)")</f>
        <v>  (1 page)</v>
      </c>
    </row>
    <row r="421" spans="1:8" ht="12.75">
      <c r="A421" t="s">
        <v>6</v>
      </c>
      <c r="B421" t="s">
        <v>391</v>
      </c>
      <c r="D421" t="s">
        <v>333</v>
      </c>
      <c r="E421" t="s">
        <v>333</v>
      </c>
      <c r="F421" t="s">
        <v>10</v>
      </c>
      <c r="G421" t="s">
        <v>11</v>
      </c>
      <c r="H421" s="1" t="str">
        <f>HYPERLINK("http://apps.fcc.gov/ecfs/document/view?id=7520943397","  (1 page)")</f>
        <v>  (1 page)</v>
      </c>
    </row>
    <row r="422" spans="1:8" ht="12.75">
      <c r="A422" t="s">
        <v>6</v>
      </c>
      <c r="B422" t="s">
        <v>392</v>
      </c>
      <c r="D422" t="s">
        <v>333</v>
      </c>
      <c r="E422" t="s">
        <v>333</v>
      </c>
      <c r="F422" t="s">
        <v>10</v>
      </c>
      <c r="G422" t="s">
        <v>11</v>
      </c>
      <c r="H422" s="1" t="str">
        <f>HYPERLINK("http://apps.fcc.gov/ecfs/document/view?id=7520943307","  (1 page)")</f>
        <v>  (1 page)</v>
      </c>
    </row>
    <row r="423" spans="1:8" ht="12.75">
      <c r="A423" t="s">
        <v>6</v>
      </c>
      <c r="B423" t="s">
        <v>393</v>
      </c>
      <c r="D423" t="s">
        <v>333</v>
      </c>
      <c r="E423" t="s">
        <v>333</v>
      </c>
      <c r="F423" t="s">
        <v>10</v>
      </c>
      <c r="G423" t="s">
        <v>11</v>
      </c>
      <c r="H423" s="1" t="str">
        <f>HYPERLINK("http://apps.fcc.gov/ecfs/document/view?id=7520943291","  (3 pages)")</f>
        <v>  (3 pages)</v>
      </c>
    </row>
    <row r="424" spans="1:8" ht="12.75">
      <c r="A424" t="s">
        <v>6</v>
      </c>
      <c r="B424" t="s">
        <v>394</v>
      </c>
      <c r="D424" t="s">
        <v>333</v>
      </c>
      <c r="E424" t="s">
        <v>333</v>
      </c>
      <c r="F424" t="s">
        <v>10</v>
      </c>
      <c r="G424" t="s">
        <v>11</v>
      </c>
      <c r="H424" s="1" t="str">
        <f>HYPERLINK("http://apps.fcc.gov/ecfs/document/view?id=7520943289","  (1 page)")</f>
        <v>  (1 page)</v>
      </c>
    </row>
    <row r="425" spans="1:8" ht="12.75">
      <c r="A425" t="s">
        <v>6</v>
      </c>
      <c r="B425" t="s">
        <v>395</v>
      </c>
      <c r="D425" t="s">
        <v>333</v>
      </c>
      <c r="E425" t="s">
        <v>333</v>
      </c>
      <c r="F425" t="s">
        <v>10</v>
      </c>
      <c r="G425" t="s">
        <v>11</v>
      </c>
      <c r="H425" s="1" t="str">
        <f>HYPERLINK("http://apps.fcc.gov/ecfs/document/view?id=7520943436","  (1 page)")</f>
        <v>  (1 page)</v>
      </c>
    </row>
    <row r="426" spans="1:8" ht="12.75">
      <c r="A426" t="s">
        <v>6</v>
      </c>
      <c r="B426" t="s">
        <v>396</v>
      </c>
      <c r="D426" t="s">
        <v>333</v>
      </c>
      <c r="E426" t="s">
        <v>333</v>
      </c>
      <c r="F426" t="s">
        <v>10</v>
      </c>
      <c r="G426" t="s">
        <v>11</v>
      </c>
      <c r="H426" s="1" t="str">
        <f>HYPERLINK("http://apps.fcc.gov/ecfs/document/view?id=7520943359"," (1 page)")</f>
        <v> (1 page)</v>
      </c>
    </row>
    <row r="427" spans="1:8" ht="12.75">
      <c r="A427" t="s">
        <v>6</v>
      </c>
      <c r="B427" t="s">
        <v>397</v>
      </c>
      <c r="D427" t="s">
        <v>333</v>
      </c>
      <c r="E427" t="s">
        <v>333</v>
      </c>
      <c r="F427" t="s">
        <v>10</v>
      </c>
      <c r="G427" t="s">
        <v>11</v>
      </c>
      <c r="H427" s="1" t="str">
        <f>HYPERLINK("http://apps.fcc.gov/ecfs/document/view?id=7520943294","  (1 page)")</f>
        <v>  (1 page)</v>
      </c>
    </row>
    <row r="428" spans="1:8" ht="12.75">
      <c r="A428" t="s">
        <v>6</v>
      </c>
      <c r="B428" t="s">
        <v>398</v>
      </c>
      <c r="D428" t="s">
        <v>333</v>
      </c>
      <c r="E428" t="s">
        <v>333</v>
      </c>
      <c r="F428" t="s">
        <v>10</v>
      </c>
      <c r="G428" t="s">
        <v>11</v>
      </c>
      <c r="H428" s="1" t="str">
        <f>HYPERLINK("http://apps.fcc.gov/ecfs/document/view?id=7520943296","  (1 page)")</f>
        <v>  (1 page)</v>
      </c>
    </row>
    <row r="429" spans="1:8" ht="12.75">
      <c r="A429" t="s">
        <v>6</v>
      </c>
      <c r="B429" t="s">
        <v>399</v>
      </c>
      <c r="D429" t="s">
        <v>333</v>
      </c>
      <c r="E429" t="s">
        <v>333</v>
      </c>
      <c r="F429" t="s">
        <v>10</v>
      </c>
      <c r="G429" t="s">
        <v>11</v>
      </c>
      <c r="H429" s="1" t="str">
        <f>HYPERLINK("http://apps.fcc.gov/ecfs/document/view?id=7520943318","  (1 page)")</f>
        <v>  (1 page)</v>
      </c>
    </row>
    <row r="430" spans="1:8" ht="12.75">
      <c r="A430" t="s">
        <v>6</v>
      </c>
      <c r="B430" t="s">
        <v>400</v>
      </c>
      <c r="D430" t="s">
        <v>333</v>
      </c>
      <c r="E430" t="s">
        <v>333</v>
      </c>
      <c r="F430" t="s">
        <v>10</v>
      </c>
      <c r="G430" t="s">
        <v>11</v>
      </c>
      <c r="H430" s="1" t="str">
        <f>HYPERLINK("http://apps.fcc.gov/ecfs/document/view?id=7520943415","  (1 page)")</f>
        <v>  (1 page)</v>
      </c>
    </row>
    <row r="431" spans="1:8" ht="12.75">
      <c r="A431" t="s">
        <v>6</v>
      </c>
      <c r="B431" t="s">
        <v>401</v>
      </c>
      <c r="D431" t="s">
        <v>333</v>
      </c>
      <c r="E431" t="s">
        <v>333</v>
      </c>
      <c r="F431" t="s">
        <v>10</v>
      </c>
      <c r="G431" t="s">
        <v>11</v>
      </c>
      <c r="H431" s="1" t="str">
        <f>HYPERLINK("http://apps.fcc.gov/ecfs/document/view?id=7520943411","  (1 page)")</f>
        <v>  (1 page)</v>
      </c>
    </row>
    <row r="432" spans="1:8" ht="12.75">
      <c r="A432" t="s">
        <v>6</v>
      </c>
      <c r="B432" t="s">
        <v>402</v>
      </c>
      <c r="D432" t="s">
        <v>333</v>
      </c>
      <c r="E432" t="s">
        <v>333</v>
      </c>
      <c r="F432" t="s">
        <v>10</v>
      </c>
      <c r="G432" t="s">
        <v>11</v>
      </c>
      <c r="H432" s="1" t="str">
        <f>HYPERLINK("http://apps.fcc.gov/ecfs/document/view?id=7520943383","  (1 page)")</f>
        <v>  (1 page)</v>
      </c>
    </row>
    <row r="433" spans="1:8" ht="12.75">
      <c r="A433" t="s">
        <v>6</v>
      </c>
      <c r="B433" t="s">
        <v>403</v>
      </c>
      <c r="D433" t="s">
        <v>333</v>
      </c>
      <c r="E433" t="s">
        <v>333</v>
      </c>
      <c r="F433" t="s">
        <v>10</v>
      </c>
      <c r="G433" t="s">
        <v>11</v>
      </c>
      <c r="H433" s="1" t="str">
        <f>HYPERLINK("http://apps.fcc.gov/ecfs/document/view?id=7520943312","  (1 page)")</f>
        <v>  (1 page)</v>
      </c>
    </row>
    <row r="434" spans="1:8" ht="12.75">
      <c r="A434" t="s">
        <v>6</v>
      </c>
      <c r="B434" t="s">
        <v>404</v>
      </c>
      <c r="D434" t="s">
        <v>333</v>
      </c>
      <c r="E434" t="s">
        <v>333</v>
      </c>
      <c r="F434" t="s">
        <v>10</v>
      </c>
      <c r="G434" t="s">
        <v>11</v>
      </c>
      <c r="H434" s="1" t="str">
        <f>HYPERLINK("http://apps.fcc.gov/ecfs/document/view?id=7520943343","AA Comment on E Rate NPRM (1 page)")</f>
        <v>AA Comment on E Rate NPRM (1 page)</v>
      </c>
    </row>
    <row r="435" spans="1:8" ht="12.75">
      <c r="A435" t="s">
        <v>6</v>
      </c>
      <c r="B435" t="s">
        <v>404</v>
      </c>
      <c r="D435" t="s">
        <v>333</v>
      </c>
      <c r="E435" t="s">
        <v>333</v>
      </c>
      <c r="F435" t="s">
        <v>10</v>
      </c>
      <c r="G435" t="s">
        <v>11</v>
      </c>
      <c r="H435" s="1" t="str">
        <f>HYPERLINK("http://apps.fcc.gov/ecfs/document/view?id=7520943338","AA Comment on E Rate NPRM (1 page)")</f>
        <v>AA Comment on E Rate NPRM (1 page)</v>
      </c>
    </row>
    <row r="436" spans="1:8" ht="12.75">
      <c r="A436" t="s">
        <v>6</v>
      </c>
      <c r="B436" t="s">
        <v>405</v>
      </c>
      <c r="D436" t="s">
        <v>333</v>
      </c>
      <c r="E436" t="s">
        <v>333</v>
      </c>
      <c r="F436" t="s">
        <v>10</v>
      </c>
      <c r="G436" t="s">
        <v>11</v>
      </c>
      <c r="H436" s="1" t="str">
        <f>HYPERLINK("http://apps.fcc.gov/ecfs/document/view?id=7520943400","  (1 page)")</f>
        <v>  (1 page)</v>
      </c>
    </row>
    <row r="437" spans="1:8" ht="12.75">
      <c r="A437" t="s">
        <v>6</v>
      </c>
      <c r="B437" t="s">
        <v>406</v>
      </c>
      <c r="D437" t="s">
        <v>333</v>
      </c>
      <c r="E437" t="s">
        <v>333</v>
      </c>
      <c r="F437" t="s">
        <v>10</v>
      </c>
      <c r="G437" t="s">
        <v>11</v>
      </c>
      <c r="H437" s="1" t="str">
        <f>HYPERLINK("http://apps.fcc.gov/ecfs/document/view?id=7520943323","  (1 page)")</f>
        <v>  (1 page)</v>
      </c>
    </row>
    <row r="438" spans="1:8" ht="12.75">
      <c r="A438" t="s">
        <v>6</v>
      </c>
      <c r="B438" t="s">
        <v>407</v>
      </c>
      <c r="D438" t="s">
        <v>333</v>
      </c>
      <c r="E438" t="s">
        <v>333</v>
      </c>
      <c r="F438" t="s">
        <v>10</v>
      </c>
      <c r="G438" t="s">
        <v>11</v>
      </c>
      <c r="H438" s="1" t="str">
        <f>HYPERLINK("http://apps.fcc.gov/ecfs/document/view?id=7520943399","  (8 pages)")</f>
        <v>  (8 pages)</v>
      </c>
    </row>
    <row r="439" spans="1:8" ht="12.75">
      <c r="A439" t="s">
        <v>6</v>
      </c>
      <c r="B439" t="s">
        <v>408</v>
      </c>
      <c r="D439" t="s">
        <v>333</v>
      </c>
      <c r="E439" t="s">
        <v>333</v>
      </c>
      <c r="F439" t="s">
        <v>10</v>
      </c>
      <c r="G439" t="s">
        <v>11</v>
      </c>
      <c r="H439" s="1" t="str">
        <f>HYPERLINK("http://apps.fcc.gov/ecfs/document/view?id=7520943325","  (1 page)")</f>
        <v>  (1 page)</v>
      </c>
    </row>
    <row r="440" spans="1:8" ht="12.75">
      <c r="A440" t="s">
        <v>6</v>
      </c>
      <c r="B440" t="s">
        <v>409</v>
      </c>
      <c r="C440" t="s">
        <v>410</v>
      </c>
      <c r="D440" t="s">
        <v>333</v>
      </c>
      <c r="E440" t="s">
        <v>333</v>
      </c>
      <c r="F440" t="s">
        <v>10</v>
      </c>
      <c r="G440" t="s">
        <v>11</v>
      </c>
      <c r="H440" s="1" t="str">
        <f>HYPERLINK("http://apps.fcc.gov/ecfs/document/view?id=7520943432","  (2 pages)")</f>
        <v>  (2 pages)</v>
      </c>
    </row>
    <row r="441" spans="1:8" ht="12.75">
      <c r="A441" t="s">
        <v>6</v>
      </c>
      <c r="B441" t="s">
        <v>411</v>
      </c>
      <c r="D441" t="s">
        <v>333</v>
      </c>
      <c r="E441" t="s">
        <v>333</v>
      </c>
      <c r="F441" t="s">
        <v>10</v>
      </c>
      <c r="G441" t="s">
        <v>11</v>
      </c>
      <c r="H441" s="1" t="str">
        <f>HYPERLINK("http://apps.fcc.gov/ecfs/document/view?id=7520943423","  (1 page)")</f>
        <v>  (1 page)</v>
      </c>
    </row>
    <row r="442" spans="1:8" ht="12.75">
      <c r="A442" t="s">
        <v>6</v>
      </c>
      <c r="B442" t="s">
        <v>412</v>
      </c>
      <c r="D442" t="s">
        <v>333</v>
      </c>
      <c r="E442" t="s">
        <v>333</v>
      </c>
      <c r="F442" t="s">
        <v>10</v>
      </c>
      <c r="G442" t="s">
        <v>11</v>
      </c>
      <c r="H442" s="1" t="str">
        <f>HYPERLINK("http://apps.fcc.gov/ecfs/document/view?id=7520943319","  (1 page)")</f>
        <v>  (1 page)</v>
      </c>
    </row>
    <row r="443" spans="1:8" ht="12.75">
      <c r="A443" t="s">
        <v>6</v>
      </c>
      <c r="B443" t="s">
        <v>413</v>
      </c>
      <c r="D443" t="s">
        <v>333</v>
      </c>
      <c r="E443" t="s">
        <v>333</v>
      </c>
      <c r="F443" t="s">
        <v>10</v>
      </c>
      <c r="G443" t="s">
        <v>11</v>
      </c>
      <c r="H443" s="1" t="str">
        <f>HYPERLINK("http://apps.fcc.gov/ecfs/document/view?id=7520943385","  (1 page)")</f>
        <v>  (1 page)</v>
      </c>
    </row>
    <row r="444" spans="1:8" ht="12.75">
      <c r="A444" t="s">
        <v>6</v>
      </c>
      <c r="B444" t="s">
        <v>414</v>
      </c>
      <c r="D444" t="s">
        <v>333</v>
      </c>
      <c r="E444" t="s">
        <v>333</v>
      </c>
      <c r="F444" t="s">
        <v>10</v>
      </c>
      <c r="G444" t="s">
        <v>11</v>
      </c>
      <c r="H444" s="1" t="str">
        <f>HYPERLINK("http://apps.fcc.gov/ecfs/document/view?id=7520943322","  (1 page)")</f>
        <v>  (1 page)</v>
      </c>
    </row>
    <row r="445" spans="1:8" ht="12.75">
      <c r="A445" t="s">
        <v>6</v>
      </c>
      <c r="B445" t="s">
        <v>415</v>
      </c>
      <c r="D445" t="s">
        <v>333</v>
      </c>
      <c r="E445" t="s">
        <v>333</v>
      </c>
      <c r="F445" t="s">
        <v>10</v>
      </c>
      <c r="G445" t="s">
        <v>11</v>
      </c>
      <c r="H445" s="1" t="str">
        <f>HYPERLINK("http://apps.fcc.gov/ecfs/document/view?id=7520943334","  (1 page)")</f>
        <v>  (1 page)</v>
      </c>
    </row>
    <row r="446" spans="1:8" ht="12.75">
      <c r="A446" t="s">
        <v>6</v>
      </c>
      <c r="B446" t="s">
        <v>416</v>
      </c>
      <c r="D446" t="s">
        <v>333</v>
      </c>
      <c r="E446" t="s">
        <v>333</v>
      </c>
      <c r="F446" t="s">
        <v>10</v>
      </c>
      <c r="G446" t="s">
        <v>11</v>
      </c>
      <c r="H446" s="1" t="str">
        <f>HYPERLINK("http://apps.fcc.gov/ecfs/document/view?id=7520943376","RCBOE FCC Comment (2 pages)")</f>
        <v>RCBOE FCC Comment (2 pages)</v>
      </c>
    </row>
    <row r="447" spans="1:9" ht="12.75">
      <c r="A447" t="s">
        <v>6</v>
      </c>
      <c r="B447" t="s">
        <v>417</v>
      </c>
      <c r="D447" t="s">
        <v>333</v>
      </c>
      <c r="E447" t="s">
        <v>333</v>
      </c>
      <c r="F447" t="s">
        <v>10</v>
      </c>
      <c r="G447" t="s">
        <v>11</v>
      </c>
      <c r="H447" s="1" t="str">
        <f>HYPERLINK("http://apps.fcc.gov/ecfs/document/view?id=7520943404","  (1 page)")</f>
        <v>  (1 page)</v>
      </c>
      <c r="I447" s="1" t="str">
        <f>HYPERLINK("http://apps.fcc.gov/ecfs/document/view?id=7520943405","  (1 page)")</f>
        <v>  (1 page)</v>
      </c>
    </row>
    <row r="448" spans="1:8" ht="12.75">
      <c r="A448" t="s">
        <v>6</v>
      </c>
      <c r="B448" t="s">
        <v>418</v>
      </c>
      <c r="D448" t="s">
        <v>333</v>
      </c>
      <c r="E448" t="s">
        <v>333</v>
      </c>
      <c r="F448" t="s">
        <v>10</v>
      </c>
      <c r="G448" t="s">
        <v>11</v>
      </c>
      <c r="H448" s="1" t="str">
        <f>HYPERLINK("http://apps.fcc.gov/ecfs/document/view?id=7520943335","  (1 page)")</f>
        <v>  (1 page)</v>
      </c>
    </row>
    <row r="449" spans="1:8" ht="12.75">
      <c r="A449" t="s">
        <v>6</v>
      </c>
      <c r="B449" t="s">
        <v>419</v>
      </c>
      <c r="D449" t="s">
        <v>333</v>
      </c>
      <c r="E449" t="s">
        <v>333</v>
      </c>
      <c r="F449" t="s">
        <v>10</v>
      </c>
      <c r="G449" t="s">
        <v>11</v>
      </c>
      <c r="H449" s="1" t="str">
        <f>HYPERLINK("http://apps.fcc.gov/ecfs/document/view?id=7520943379","  (1 page)")</f>
        <v>  (1 page)</v>
      </c>
    </row>
    <row r="450" spans="1:8" ht="12.75">
      <c r="A450" t="s">
        <v>6</v>
      </c>
      <c r="B450" t="s">
        <v>420</v>
      </c>
      <c r="D450" t="s">
        <v>333</v>
      </c>
      <c r="E450" t="s">
        <v>333</v>
      </c>
      <c r="F450" t="s">
        <v>10</v>
      </c>
      <c r="G450" t="s">
        <v>11</v>
      </c>
      <c r="H450" s="1" t="str">
        <f>HYPERLINK("http://apps.fcc.gov/ecfs/document/view?id=7520943388","  (1 page)")</f>
        <v>  (1 page)</v>
      </c>
    </row>
    <row r="451" spans="1:8" ht="12.75">
      <c r="A451" t="s">
        <v>6</v>
      </c>
      <c r="B451" t="s">
        <v>421</v>
      </c>
      <c r="D451" t="s">
        <v>333</v>
      </c>
      <c r="E451" t="s">
        <v>333</v>
      </c>
      <c r="F451" t="s">
        <v>10</v>
      </c>
      <c r="G451" t="s">
        <v>11</v>
      </c>
      <c r="H451" s="1" t="str">
        <f>HYPERLINK("http://apps.fcc.gov/ecfs/document/view?id=7520943392","  (1 page)")</f>
        <v>  (1 page)</v>
      </c>
    </row>
    <row r="452" spans="1:8" ht="12.75">
      <c r="A452" t="s">
        <v>6</v>
      </c>
      <c r="B452" t="s">
        <v>422</v>
      </c>
      <c r="D452" t="s">
        <v>333</v>
      </c>
      <c r="E452" t="s">
        <v>333</v>
      </c>
      <c r="F452" t="s">
        <v>10</v>
      </c>
      <c r="G452" t="s">
        <v>11</v>
      </c>
      <c r="H452" s="1" t="str">
        <f>HYPERLINK("http://apps.fcc.gov/ecfs/document/view?id=7520943356"," (2 pages)")</f>
        <v> (2 pages)</v>
      </c>
    </row>
    <row r="453" spans="1:8" ht="12.75">
      <c r="A453" t="s">
        <v>6</v>
      </c>
      <c r="B453" t="s">
        <v>423</v>
      </c>
      <c r="D453" t="s">
        <v>333</v>
      </c>
      <c r="E453" t="s">
        <v>333</v>
      </c>
      <c r="F453" t="s">
        <v>10</v>
      </c>
      <c r="G453" t="s">
        <v>11</v>
      </c>
      <c r="H453" s="1" t="str">
        <f>HYPERLINK("http://apps.fcc.gov/ecfs/document/view?id=7520943382","NASCIO Comments on Docket 13 184 (4 pages)")</f>
        <v>NASCIO Comments on Docket 13 184 (4 pages)</v>
      </c>
    </row>
    <row r="454" spans="1:8" ht="12.75">
      <c r="A454" t="s">
        <v>6</v>
      </c>
      <c r="B454" t="s">
        <v>424</v>
      </c>
      <c r="D454" t="s">
        <v>333</v>
      </c>
      <c r="E454" t="s">
        <v>333</v>
      </c>
      <c r="F454" t="s">
        <v>10</v>
      </c>
      <c r="G454" t="s">
        <v>11</v>
      </c>
      <c r="H454" s="1" t="str">
        <f>HYPERLINK("http://apps.fcc.gov/ecfs/document/view?id=7520943285","  (3 pages)")</f>
        <v>  (3 pages)</v>
      </c>
    </row>
    <row r="455" spans="1:8" ht="12.75">
      <c r="A455" t="s">
        <v>6</v>
      </c>
      <c r="B455" t="s">
        <v>425</v>
      </c>
      <c r="D455" t="s">
        <v>333</v>
      </c>
      <c r="E455" t="s">
        <v>333</v>
      </c>
      <c r="F455" t="s">
        <v>10</v>
      </c>
      <c r="G455" t="s">
        <v>11</v>
      </c>
      <c r="H455" s="1" t="str">
        <f>HYPERLINK("http://apps.fcc.gov/ecfs/document/view?id=7520943360","CCSA NAPCS Letter (3 pages)")</f>
        <v>CCSA NAPCS Letter (3 pages)</v>
      </c>
    </row>
    <row r="456" spans="1:8" ht="12.75">
      <c r="A456" t="s">
        <v>6</v>
      </c>
      <c r="B456" t="s">
        <v>426</v>
      </c>
      <c r="D456" t="s">
        <v>333</v>
      </c>
      <c r="E456" t="s">
        <v>333</v>
      </c>
      <c r="F456" t="s">
        <v>10</v>
      </c>
      <c r="G456" t="s">
        <v>11</v>
      </c>
      <c r="H456" s="1" t="str">
        <f>HYPERLINK("http://apps.fcc.gov/ecfs/document/view?id=7520943412","  (1 page)")</f>
        <v>  (1 page)</v>
      </c>
    </row>
    <row r="457" spans="1:8" ht="12.75">
      <c r="A457" t="s">
        <v>6</v>
      </c>
      <c r="B457" t="s">
        <v>427</v>
      </c>
      <c r="D457" t="s">
        <v>333</v>
      </c>
      <c r="E457" t="s">
        <v>333</v>
      </c>
      <c r="F457" t="s">
        <v>10</v>
      </c>
      <c r="G457" t="s">
        <v>11</v>
      </c>
      <c r="H457" s="1" t="str">
        <f>HYPERLINK("http://apps.fcc.gov/ecfs/document/view?id=7520943290","  (1 page)")</f>
        <v>  (1 page)</v>
      </c>
    </row>
    <row r="458" spans="1:8" ht="12.75">
      <c r="A458" t="s">
        <v>6</v>
      </c>
      <c r="B458" t="s">
        <v>428</v>
      </c>
      <c r="D458" t="s">
        <v>333</v>
      </c>
      <c r="E458" t="s">
        <v>333</v>
      </c>
      <c r="F458" t="s">
        <v>10</v>
      </c>
      <c r="G458" t="s">
        <v>11</v>
      </c>
      <c r="H458" s="1" t="str">
        <f>HYPERLINK("http://apps.fcc.gov/ecfs/document/view?id=7520943311","  (1 page)")</f>
        <v>  (1 page)</v>
      </c>
    </row>
    <row r="459" spans="1:8" ht="12.75">
      <c r="A459" t="s">
        <v>6</v>
      </c>
      <c r="B459" t="s">
        <v>429</v>
      </c>
      <c r="C459" t="s">
        <v>430</v>
      </c>
      <c r="D459" t="s">
        <v>333</v>
      </c>
      <c r="E459" t="s">
        <v>333</v>
      </c>
      <c r="F459" t="s">
        <v>10</v>
      </c>
      <c r="G459" t="s">
        <v>11</v>
      </c>
      <c r="H459" s="1" t="str">
        <f>HYPERLINK("http://apps.fcc.gov/ecfs/document/view?id=7520943390","Response to E Rate Funding (1 page)")</f>
        <v>Response to E Rate Funding (1 page)</v>
      </c>
    </row>
    <row r="460" spans="1:8" ht="12.75">
      <c r="A460" t="s">
        <v>6</v>
      </c>
      <c r="B460" t="s">
        <v>431</v>
      </c>
      <c r="D460" t="s">
        <v>333</v>
      </c>
      <c r="E460" t="s">
        <v>333</v>
      </c>
      <c r="F460" t="s">
        <v>10</v>
      </c>
      <c r="G460" t="s">
        <v>11</v>
      </c>
      <c r="H460" s="1" t="str">
        <f>HYPERLINK("http://apps.fcc.gov/ecfs/document/view?id=7520943303","  (1 page)")</f>
        <v>  (1 page)</v>
      </c>
    </row>
    <row r="461" spans="1:8" ht="12.75">
      <c r="A461" t="s">
        <v>6</v>
      </c>
      <c r="B461" t="s">
        <v>432</v>
      </c>
      <c r="D461" t="s">
        <v>333</v>
      </c>
      <c r="E461" t="s">
        <v>333</v>
      </c>
      <c r="F461" t="s">
        <v>10</v>
      </c>
      <c r="G461" t="s">
        <v>11</v>
      </c>
      <c r="H461" s="1" t="str">
        <f>HYPERLINK("http://apps.fcc.gov/ecfs/document/view?id=7520943287","  (1 page)")</f>
        <v>  (1 page)</v>
      </c>
    </row>
    <row r="462" spans="1:8" ht="12.75">
      <c r="A462" t="s">
        <v>6</v>
      </c>
      <c r="B462" t="s">
        <v>433</v>
      </c>
      <c r="D462" t="s">
        <v>333</v>
      </c>
      <c r="E462" t="s">
        <v>333</v>
      </c>
      <c r="F462" t="s">
        <v>10</v>
      </c>
      <c r="G462" t="s">
        <v>11</v>
      </c>
      <c r="H462" s="1" t="str">
        <f>HYPERLINK("http://apps.fcc.gov/ecfs/document/view?id=7520943389","  (1 page)")</f>
        <v>  (1 page)</v>
      </c>
    </row>
    <row r="463" spans="1:8" ht="12.75">
      <c r="A463" t="s">
        <v>6</v>
      </c>
      <c r="B463" t="s">
        <v>434</v>
      </c>
      <c r="D463" t="s">
        <v>333</v>
      </c>
      <c r="E463" t="s">
        <v>333</v>
      </c>
      <c r="F463" t="s">
        <v>10</v>
      </c>
      <c r="G463" t="s">
        <v>11</v>
      </c>
      <c r="H463" s="1" t="str">
        <f>HYPERLINK("http://apps.fcc.gov/ecfs/document/view?id=7520943375","LAUSD NPRM 13 184 Comments (15 pages)")</f>
        <v>LAUSD NPRM 13 184 Comments (15 pages)</v>
      </c>
    </row>
    <row r="464" spans="1:8" ht="12.75">
      <c r="A464" t="s">
        <v>6</v>
      </c>
      <c r="B464" t="s">
        <v>435</v>
      </c>
      <c r="D464" t="s">
        <v>333</v>
      </c>
      <c r="E464" t="s">
        <v>333</v>
      </c>
      <c r="F464" t="s">
        <v>10</v>
      </c>
      <c r="G464" t="s">
        <v>11</v>
      </c>
      <c r="H464" s="1" t="str">
        <f>HYPERLINK("http://apps.fcc.gov/ecfs/document/view?id=7520943305","  (1 page)")</f>
        <v>  (1 page)</v>
      </c>
    </row>
    <row r="465" spans="1:8" ht="12.75">
      <c r="A465" t="s">
        <v>6</v>
      </c>
      <c r="B465" t="s">
        <v>436</v>
      </c>
      <c r="D465" t="s">
        <v>333</v>
      </c>
      <c r="E465" t="s">
        <v>333</v>
      </c>
      <c r="F465" t="s">
        <v>10</v>
      </c>
      <c r="G465" t="s">
        <v>11</v>
      </c>
      <c r="H465" s="1" t="str">
        <f>HYPERLINK("http://apps.fcc.gov/ecfs/document/view?id=7520943320","  (1 page)")</f>
        <v>  (1 page)</v>
      </c>
    </row>
    <row r="466" spans="1:8" ht="12.75">
      <c r="A466" t="s">
        <v>6</v>
      </c>
      <c r="B466" t="s">
        <v>437</v>
      </c>
      <c r="D466" t="s">
        <v>333</v>
      </c>
      <c r="E466" t="s">
        <v>333</v>
      </c>
      <c r="F466" t="s">
        <v>10</v>
      </c>
      <c r="G466" t="s">
        <v>11</v>
      </c>
      <c r="H466" s="1" t="str">
        <f>HYPERLINK("http://apps.fcc.gov/ecfs/document/view?id=7520943313","  (1 page)")</f>
        <v>  (1 page)</v>
      </c>
    </row>
    <row r="467" spans="1:8" ht="12.75">
      <c r="A467" t="s">
        <v>6</v>
      </c>
      <c r="B467" t="s">
        <v>438</v>
      </c>
      <c r="D467" t="s">
        <v>333</v>
      </c>
      <c r="E467" t="s">
        <v>333</v>
      </c>
      <c r="F467" t="s">
        <v>10</v>
      </c>
      <c r="G467" t="s">
        <v>11</v>
      </c>
      <c r="H467" s="1" t="str">
        <f>HYPERLINK("http://apps.fcc.gov/ecfs/document/view?id=7520943279","  (1 page)")</f>
        <v>  (1 page)</v>
      </c>
    </row>
    <row r="468" spans="1:8" ht="12.75">
      <c r="A468" t="s">
        <v>6</v>
      </c>
      <c r="B468" t="s">
        <v>439</v>
      </c>
      <c r="D468" t="s">
        <v>333</v>
      </c>
      <c r="E468" t="s">
        <v>333</v>
      </c>
      <c r="F468" t="s">
        <v>10</v>
      </c>
      <c r="G468" t="s">
        <v>11</v>
      </c>
      <c r="H468" s="1" t="str">
        <f>HYPERLINK("http://apps.fcc.gov/ecfs/document/view?id=7520943395","  (1 page)")</f>
        <v>  (1 page)</v>
      </c>
    </row>
    <row r="469" spans="1:8" ht="12.75">
      <c r="A469" t="s">
        <v>6</v>
      </c>
      <c r="B469" t="s">
        <v>440</v>
      </c>
      <c r="D469" t="s">
        <v>333</v>
      </c>
      <c r="E469" t="s">
        <v>333</v>
      </c>
      <c r="F469" t="s">
        <v>10</v>
      </c>
      <c r="G469" t="s">
        <v>11</v>
      </c>
      <c r="H469" s="1" t="str">
        <f>HYPERLINK("http://apps.fcc.gov/ecfs/document/view?id=7520943286","  (1 page)")</f>
        <v>  (1 page)</v>
      </c>
    </row>
    <row r="470" spans="1:8" ht="12.75">
      <c r="A470" t="s">
        <v>6</v>
      </c>
      <c r="B470" t="s">
        <v>441</v>
      </c>
      <c r="D470" t="s">
        <v>333</v>
      </c>
      <c r="E470" t="s">
        <v>333</v>
      </c>
      <c r="F470" t="s">
        <v>10</v>
      </c>
      <c r="G470" t="s">
        <v>11</v>
      </c>
      <c r="H470" s="1" t="str">
        <f>HYPERLINK("http://apps.fcc.gov/ecfs/document/view?id=7520943284","  (1 page)")</f>
        <v>  (1 page)</v>
      </c>
    </row>
    <row r="471" spans="1:8" ht="12.75">
      <c r="A471" t="s">
        <v>6</v>
      </c>
      <c r="B471" t="s">
        <v>442</v>
      </c>
      <c r="D471" t="s">
        <v>333</v>
      </c>
      <c r="E471" t="s">
        <v>333</v>
      </c>
      <c r="F471" t="s">
        <v>10</v>
      </c>
      <c r="G471" t="s">
        <v>11</v>
      </c>
      <c r="H471" s="1" t="str">
        <f>HYPERLINK("http://apps.fcc.gov/ecfs/document/view?id=7520943329","  (1 page)")</f>
        <v>  (1 page)</v>
      </c>
    </row>
    <row r="472" spans="1:8" ht="12.75">
      <c r="A472" t="s">
        <v>6</v>
      </c>
      <c r="B472" t="s">
        <v>443</v>
      </c>
      <c r="D472" t="s">
        <v>333</v>
      </c>
      <c r="E472" t="s">
        <v>333</v>
      </c>
      <c r="F472" t="s">
        <v>10</v>
      </c>
      <c r="G472" t="s">
        <v>11</v>
      </c>
      <c r="H472" s="1" t="str">
        <f>HYPERLINK("http://apps.fcc.gov/ecfs/document/view?id=7520943407","  (1 page)")</f>
        <v>  (1 page)</v>
      </c>
    </row>
    <row r="473" spans="1:8" ht="12.75">
      <c r="A473" t="s">
        <v>6</v>
      </c>
      <c r="B473" t="s">
        <v>444</v>
      </c>
      <c r="D473" t="s">
        <v>333</v>
      </c>
      <c r="E473" t="s">
        <v>333</v>
      </c>
      <c r="F473" t="s">
        <v>10</v>
      </c>
      <c r="G473" t="s">
        <v>11</v>
      </c>
      <c r="H473" s="1" t="str">
        <f>HYPERLINK("http://apps.fcc.gov/ecfs/document/view?id=7520943406","  (1 page)")</f>
        <v>  (1 page)</v>
      </c>
    </row>
    <row r="474" spans="1:8" ht="12.75">
      <c r="A474" t="s">
        <v>6</v>
      </c>
      <c r="B474" t="s">
        <v>445</v>
      </c>
      <c r="D474" t="s">
        <v>333</v>
      </c>
      <c r="E474" t="s">
        <v>333</v>
      </c>
      <c r="F474" t="s">
        <v>10</v>
      </c>
      <c r="G474" t="s">
        <v>11</v>
      </c>
      <c r="H474" s="1" t="str">
        <f>HYPERLINK("http://apps.fcc.gov/ecfs/document/view?id=7520943292","  (1 page)")</f>
        <v>  (1 page)</v>
      </c>
    </row>
    <row r="475" spans="1:8" ht="12.75">
      <c r="A475" t="s">
        <v>6</v>
      </c>
      <c r="B475" t="s">
        <v>446</v>
      </c>
      <c r="D475" t="s">
        <v>333</v>
      </c>
      <c r="E475" t="s">
        <v>333</v>
      </c>
      <c r="F475" t="s">
        <v>10</v>
      </c>
      <c r="G475" t="s">
        <v>11</v>
      </c>
      <c r="H475" s="1" t="str">
        <f>HYPERLINK("http://apps.fcc.gov/ecfs/document/view?id=7520943414","  (1 page)")</f>
        <v>  (1 page)</v>
      </c>
    </row>
    <row r="476" spans="1:8" ht="12.75">
      <c r="A476" t="s">
        <v>6</v>
      </c>
      <c r="B476" t="s">
        <v>447</v>
      </c>
      <c r="D476" t="s">
        <v>333</v>
      </c>
      <c r="E476" t="s">
        <v>333</v>
      </c>
      <c r="F476" t="s">
        <v>10</v>
      </c>
      <c r="G476" t="s">
        <v>11</v>
      </c>
      <c r="H476" s="1" t="str">
        <f>HYPERLINK("http://apps.fcc.gov/ecfs/document/view?id=7520943306","  (1 page)")</f>
        <v>  (1 page)</v>
      </c>
    </row>
    <row r="477" spans="1:8" ht="12.75">
      <c r="A477" t="s">
        <v>6</v>
      </c>
      <c r="B477" t="s">
        <v>448</v>
      </c>
      <c r="D477" t="s">
        <v>333</v>
      </c>
      <c r="E477" t="s">
        <v>333</v>
      </c>
      <c r="F477" t="s">
        <v>10</v>
      </c>
      <c r="G477" t="s">
        <v>11</v>
      </c>
      <c r="H477" s="1" t="str">
        <f>HYPERLINK("http://apps.fcc.gov/ecfs/document/view?id=7520943380","  (1 page)")</f>
        <v>  (1 page)</v>
      </c>
    </row>
    <row r="478" spans="1:8" ht="12.75">
      <c r="A478" t="s">
        <v>6</v>
      </c>
      <c r="B478" t="s">
        <v>449</v>
      </c>
      <c r="D478" t="s">
        <v>333</v>
      </c>
      <c r="E478" t="s">
        <v>333</v>
      </c>
      <c r="F478" t="s">
        <v>10</v>
      </c>
      <c r="G478" t="s">
        <v>11</v>
      </c>
      <c r="H478" s="1" t="str">
        <f>HYPERLINK("http://apps.fcc.gov/ecfs/document/view?id=7520943426","  (1 page)")</f>
        <v>  (1 page)</v>
      </c>
    </row>
    <row r="479" spans="1:8" ht="12.75">
      <c r="A479" t="s">
        <v>6</v>
      </c>
      <c r="B479" t="s">
        <v>450</v>
      </c>
      <c r="D479" t="s">
        <v>333</v>
      </c>
      <c r="E479" t="s">
        <v>333</v>
      </c>
      <c r="F479" t="s">
        <v>10</v>
      </c>
      <c r="G479" t="s">
        <v>11</v>
      </c>
      <c r="H479" s="1" t="str">
        <f>HYPERLINK("http://apps.fcc.gov/ecfs/document/view?id=7520943298","  (1 page)")</f>
        <v>  (1 page)</v>
      </c>
    </row>
    <row r="480" spans="1:8" ht="12.75">
      <c r="A480" t="s">
        <v>6</v>
      </c>
      <c r="B480" t="s">
        <v>451</v>
      </c>
      <c r="D480" t="s">
        <v>333</v>
      </c>
      <c r="E480" t="s">
        <v>333</v>
      </c>
      <c r="F480" t="s">
        <v>10</v>
      </c>
      <c r="G480" t="s">
        <v>11</v>
      </c>
      <c r="H480" s="1" t="str">
        <f>HYPERLINK("http://apps.fcc.gov/ecfs/document/view?id=7520943314","  (1 page)")</f>
        <v>  (1 page)</v>
      </c>
    </row>
    <row r="481" spans="1:8" ht="12.75">
      <c r="A481" t="s">
        <v>6</v>
      </c>
      <c r="B481" t="s">
        <v>452</v>
      </c>
      <c r="D481" t="s">
        <v>333</v>
      </c>
      <c r="E481" t="s">
        <v>333</v>
      </c>
      <c r="F481" t="s">
        <v>10</v>
      </c>
      <c r="G481" t="s">
        <v>11</v>
      </c>
      <c r="H481" s="1" t="str">
        <f>HYPERLINK("http://apps.fcc.gov/ecfs/document/view?id=7520943277","  (1 page)")</f>
        <v>  (1 page)</v>
      </c>
    </row>
    <row r="482" spans="1:8" ht="12.75">
      <c r="A482" t="s">
        <v>6</v>
      </c>
      <c r="B482" t="s">
        <v>453</v>
      </c>
      <c r="D482" t="s">
        <v>333</v>
      </c>
      <c r="E482" t="s">
        <v>333</v>
      </c>
      <c r="F482" t="s">
        <v>10</v>
      </c>
      <c r="G482" t="s">
        <v>11</v>
      </c>
      <c r="H482" s="1" t="str">
        <f>HYPERLINK("http://apps.fcc.gov/ecfs/document/view?id=7520943430","  (1 page)")</f>
        <v>  (1 page)</v>
      </c>
    </row>
    <row r="483" spans="1:8" ht="12.75">
      <c r="A483" t="s">
        <v>6</v>
      </c>
      <c r="B483" t="s">
        <v>454</v>
      </c>
      <c r="D483" t="s">
        <v>333</v>
      </c>
      <c r="E483" t="s">
        <v>333</v>
      </c>
      <c r="F483" t="s">
        <v>10</v>
      </c>
      <c r="G483" t="s">
        <v>11</v>
      </c>
      <c r="H483" s="1" t="str">
        <f>HYPERLINK("http://apps.fcc.gov/ecfs/document/view?id=7520943428","  (1 page)")</f>
        <v>  (1 page)</v>
      </c>
    </row>
    <row r="484" spans="1:8" ht="12.75">
      <c r="A484" t="s">
        <v>6</v>
      </c>
      <c r="B484" t="s">
        <v>455</v>
      </c>
      <c r="D484" t="s">
        <v>333</v>
      </c>
      <c r="E484" t="s">
        <v>333</v>
      </c>
      <c r="F484" t="s">
        <v>10</v>
      </c>
      <c r="G484" t="s">
        <v>11</v>
      </c>
      <c r="H484" s="1" t="str">
        <f>HYPERLINK("http://apps.fcc.gov/ecfs/document/view?id=7520943393","  (1 page)")</f>
        <v>  (1 page)</v>
      </c>
    </row>
    <row r="485" spans="1:8" ht="12.75">
      <c r="A485" t="s">
        <v>6</v>
      </c>
      <c r="B485" t="s">
        <v>456</v>
      </c>
      <c r="D485" t="s">
        <v>333</v>
      </c>
      <c r="E485" t="s">
        <v>333</v>
      </c>
      <c r="F485" t="s">
        <v>10</v>
      </c>
      <c r="G485" t="s">
        <v>11</v>
      </c>
      <c r="H485" s="1" t="str">
        <f>HYPERLINK("http://apps.fcc.gov/ecfs/document/view?id=7520943365"," (1 page)")</f>
        <v> (1 page)</v>
      </c>
    </row>
    <row r="486" spans="1:8" ht="12.75">
      <c r="A486" t="s">
        <v>6</v>
      </c>
      <c r="B486" t="s">
        <v>457</v>
      </c>
      <c r="D486" t="s">
        <v>333</v>
      </c>
      <c r="E486" t="s">
        <v>333</v>
      </c>
      <c r="F486" t="s">
        <v>10</v>
      </c>
      <c r="G486" t="s">
        <v>11</v>
      </c>
      <c r="H486" s="1" t="str">
        <f>HYPERLINK("http://apps.fcc.gov/ecfs/document/view?id=7520943328","  (1 page)")</f>
        <v>  (1 page)</v>
      </c>
    </row>
    <row r="487" spans="1:8" ht="12.75">
      <c r="A487" t="s">
        <v>6</v>
      </c>
      <c r="B487" t="s">
        <v>458</v>
      </c>
      <c r="D487" t="s">
        <v>333</v>
      </c>
      <c r="E487" t="s">
        <v>333</v>
      </c>
      <c r="F487" t="s">
        <v>10</v>
      </c>
      <c r="G487" t="s">
        <v>11</v>
      </c>
      <c r="H487" s="1" t="str">
        <f>HYPERLINK("http://apps.fcc.gov/ecfs/document/view?id=7520943425","  (1 page)")</f>
        <v>  (1 page)</v>
      </c>
    </row>
    <row r="488" spans="1:8" ht="12.75">
      <c r="A488" t="s">
        <v>6</v>
      </c>
      <c r="B488" t="s">
        <v>459</v>
      </c>
      <c r="D488" t="s">
        <v>333</v>
      </c>
      <c r="E488" t="s">
        <v>333</v>
      </c>
      <c r="F488" t="s">
        <v>10</v>
      </c>
      <c r="G488" t="s">
        <v>11</v>
      </c>
      <c r="H488" s="1" t="str">
        <f>HYPERLINK("http://apps.fcc.gov/ecfs/document/view?id=7520943364"," (1 page)")</f>
        <v> (1 page)</v>
      </c>
    </row>
    <row r="489" spans="1:8" ht="12.75">
      <c r="A489" t="s">
        <v>6</v>
      </c>
      <c r="B489" t="s">
        <v>460</v>
      </c>
      <c r="D489" t="s">
        <v>333</v>
      </c>
      <c r="E489" t="s">
        <v>333</v>
      </c>
      <c r="F489" t="s">
        <v>10</v>
      </c>
      <c r="G489" t="s">
        <v>11</v>
      </c>
      <c r="H489" s="1" t="str">
        <f>HYPERLINK("http://apps.fcc.gov/ecfs/document/view?id=7520943315","  (1 page)")</f>
        <v>  (1 page)</v>
      </c>
    </row>
    <row r="490" spans="1:8" ht="12.75">
      <c r="A490" t="s">
        <v>6</v>
      </c>
      <c r="B490" t="s">
        <v>461</v>
      </c>
      <c r="D490" t="s">
        <v>333</v>
      </c>
      <c r="E490" t="s">
        <v>333</v>
      </c>
      <c r="F490" t="s">
        <v>10</v>
      </c>
      <c r="G490" t="s">
        <v>11</v>
      </c>
      <c r="H490" s="1" t="str">
        <f>HYPERLINK("http://apps.fcc.gov/ecfs/document/view?id=7520943434","HISD NPRM 13 184 Comments (6 pages)")</f>
        <v>HISD NPRM 13 184 Comments (6 pages)</v>
      </c>
    </row>
    <row r="491" spans="1:8" ht="12.75">
      <c r="A491" t="s">
        <v>6</v>
      </c>
      <c r="B491" t="s">
        <v>462</v>
      </c>
      <c r="D491" t="s">
        <v>333</v>
      </c>
      <c r="E491" t="s">
        <v>333</v>
      </c>
      <c r="F491" t="s">
        <v>10</v>
      </c>
      <c r="G491" t="s">
        <v>11</v>
      </c>
      <c r="H491" s="1" t="str">
        <f>HYPERLINK("http://apps.fcc.gov/ecfs/document/view?id=7520943391","  (1 page)")</f>
        <v>  (1 page)</v>
      </c>
    </row>
    <row r="492" spans="1:8" ht="12.75">
      <c r="A492" t="s">
        <v>6</v>
      </c>
      <c r="B492" t="s">
        <v>463</v>
      </c>
      <c r="D492" t="s">
        <v>333</v>
      </c>
      <c r="E492" t="s">
        <v>333</v>
      </c>
      <c r="F492" t="s">
        <v>10</v>
      </c>
      <c r="G492" t="s">
        <v>11</v>
      </c>
      <c r="H492" s="1" t="str">
        <f>HYPERLINK("http://apps.fcc.gov/ecfs/document/view?id=7520943402","  (1 page)")</f>
        <v>  (1 page)</v>
      </c>
    </row>
    <row r="493" spans="1:8" ht="12.75">
      <c r="A493" t="s">
        <v>6</v>
      </c>
      <c r="B493" t="s">
        <v>464</v>
      </c>
      <c r="D493" t="s">
        <v>333</v>
      </c>
      <c r="E493" t="s">
        <v>333</v>
      </c>
      <c r="F493" t="s">
        <v>10</v>
      </c>
      <c r="G493" t="s">
        <v>180</v>
      </c>
      <c r="H493" s="1" t="str">
        <f>HYPERLINK("http://apps.fcc.gov/ecfs/document/view?id=7520943337","  (2 pages)")</f>
        <v>  (2 pages)</v>
      </c>
    </row>
    <row r="494" spans="1:8" ht="12.75">
      <c r="A494" t="s">
        <v>6</v>
      </c>
      <c r="B494" t="s">
        <v>465</v>
      </c>
      <c r="D494" t="s">
        <v>333</v>
      </c>
      <c r="E494" t="s">
        <v>333</v>
      </c>
      <c r="F494" t="s">
        <v>10</v>
      </c>
      <c r="G494" t="s">
        <v>11</v>
      </c>
      <c r="H494" s="1" t="str">
        <f>HYPERLINK("http://apps.fcc.gov/ecfs/document/view?id=7520943418","  (1 page)")</f>
        <v>  (1 page)</v>
      </c>
    </row>
    <row r="495" spans="1:8" ht="12.75">
      <c r="A495" t="s">
        <v>6</v>
      </c>
      <c r="B495" t="s">
        <v>466</v>
      </c>
      <c r="D495" t="s">
        <v>333</v>
      </c>
      <c r="E495" t="s">
        <v>333</v>
      </c>
      <c r="F495" t="s">
        <v>10</v>
      </c>
      <c r="G495" t="s">
        <v>11</v>
      </c>
      <c r="H495" s="1" t="str">
        <f>HYPERLINK("http://apps.fcc.gov/ecfs/document/view?id=7520943387","  (1 page)")</f>
        <v>  (1 page)</v>
      </c>
    </row>
    <row r="496" spans="1:8" ht="12.75">
      <c r="A496" t="s">
        <v>6</v>
      </c>
      <c r="B496" t="s">
        <v>467</v>
      </c>
      <c r="D496" t="s">
        <v>333</v>
      </c>
      <c r="E496" t="s">
        <v>333</v>
      </c>
      <c r="F496" t="s">
        <v>10</v>
      </c>
      <c r="G496" t="s">
        <v>11</v>
      </c>
      <c r="H496" s="1" t="str">
        <f>HYPERLINK("http://apps.fcc.gov/ecfs/document/view?id=7520943309","  (1 page)")</f>
        <v>  (1 page)</v>
      </c>
    </row>
    <row r="497" spans="1:8" ht="12.75">
      <c r="A497" t="s">
        <v>6</v>
      </c>
      <c r="B497" t="s">
        <v>468</v>
      </c>
      <c r="D497" t="s">
        <v>333</v>
      </c>
      <c r="E497" t="s">
        <v>333</v>
      </c>
      <c r="F497" t="s">
        <v>10</v>
      </c>
      <c r="G497" t="s">
        <v>11</v>
      </c>
      <c r="H497" s="1" t="str">
        <f>HYPERLINK("http://apps.fcc.gov/ecfs/document/view?id=7520943386","  (1 page)")</f>
        <v>  (1 page)</v>
      </c>
    </row>
    <row r="498" spans="1:8" ht="12.75">
      <c r="A498" t="s">
        <v>6</v>
      </c>
      <c r="B498" t="s">
        <v>469</v>
      </c>
      <c r="D498" t="s">
        <v>333</v>
      </c>
      <c r="E498" t="s">
        <v>333</v>
      </c>
      <c r="F498" t="s">
        <v>10</v>
      </c>
      <c r="G498" t="s">
        <v>11</v>
      </c>
      <c r="H498" s="1" t="str">
        <f>HYPERLINK("http://apps.fcc.gov/ecfs/document/view?id=7520943293","  (1 page)")</f>
        <v>  (1 page)</v>
      </c>
    </row>
    <row r="499" spans="1:8" ht="12.75">
      <c r="A499" t="s">
        <v>6</v>
      </c>
      <c r="B499" t="s">
        <v>470</v>
      </c>
      <c r="D499" t="s">
        <v>333</v>
      </c>
      <c r="E499" t="s">
        <v>333</v>
      </c>
      <c r="F499" t="s">
        <v>10</v>
      </c>
      <c r="G499" t="s">
        <v>11</v>
      </c>
      <c r="H499" s="1" t="str">
        <f>HYPERLINK("http://apps.fcc.gov/ecfs/document/view?id=7520943422","  (1 page)")</f>
        <v>  (1 page)</v>
      </c>
    </row>
    <row r="500" spans="1:8" ht="12.75">
      <c r="A500" t="s">
        <v>6</v>
      </c>
      <c r="B500" t="s">
        <v>471</v>
      </c>
      <c r="D500" t="s">
        <v>333</v>
      </c>
      <c r="E500" t="s">
        <v>333</v>
      </c>
      <c r="F500" t="s">
        <v>10</v>
      </c>
      <c r="G500" t="s">
        <v>11</v>
      </c>
      <c r="H500" s="1" t="str">
        <f>HYPERLINK("http://apps.fcc.gov/ecfs/document/view?id=7520943301","  (1 page)")</f>
        <v>  (1 page)</v>
      </c>
    </row>
    <row r="501" spans="1:8" ht="12.75">
      <c r="A501" t="s">
        <v>6</v>
      </c>
      <c r="B501" t="s">
        <v>472</v>
      </c>
      <c r="D501" t="s">
        <v>333</v>
      </c>
      <c r="E501" t="s">
        <v>333</v>
      </c>
      <c r="F501" t="s">
        <v>10</v>
      </c>
      <c r="G501" t="s">
        <v>11</v>
      </c>
      <c r="H501" s="1" t="str">
        <f>HYPERLINK("http://apps.fcc.gov/ecfs/document/view?id=7520943349","  (1 page)")</f>
        <v>  (1 page)</v>
      </c>
    </row>
    <row r="502" spans="1:8" ht="12.75">
      <c r="A502" t="s">
        <v>6</v>
      </c>
      <c r="B502" t="s">
        <v>473</v>
      </c>
      <c r="D502" t="s">
        <v>333</v>
      </c>
      <c r="E502" t="s">
        <v>333</v>
      </c>
      <c r="F502" t="s">
        <v>10</v>
      </c>
      <c r="G502" t="s">
        <v>11</v>
      </c>
      <c r="H502" s="1" t="str">
        <f>HYPERLINK("http://apps.fcc.gov/ecfs/document/view?id=7520943435","  (1 page)")</f>
        <v>  (1 page)</v>
      </c>
    </row>
    <row r="503" spans="1:8" ht="12.75">
      <c r="A503" t="s">
        <v>6</v>
      </c>
      <c r="B503" t="s">
        <v>474</v>
      </c>
      <c r="D503" t="s">
        <v>333</v>
      </c>
      <c r="E503" t="s">
        <v>333</v>
      </c>
      <c r="F503" t="s">
        <v>10</v>
      </c>
      <c r="G503" t="s">
        <v>11</v>
      </c>
      <c r="H503" s="1" t="str">
        <f>HYPERLINK("http://apps.fcc.gov/ecfs/document/view?id=7520943403","  (1 page)")</f>
        <v>  (1 page)</v>
      </c>
    </row>
    <row r="504" spans="1:8" ht="12.75">
      <c r="A504" t="s">
        <v>6</v>
      </c>
      <c r="B504" t="s">
        <v>475</v>
      </c>
      <c r="D504" t="s">
        <v>333</v>
      </c>
      <c r="E504" t="s">
        <v>333</v>
      </c>
      <c r="F504" t="s">
        <v>10</v>
      </c>
      <c r="G504" t="s">
        <v>11</v>
      </c>
      <c r="H504" s="1" t="str">
        <f>HYPERLINK("http://apps.fcc.gov/ecfs/document/view?id=7520943419","  (1 page)")</f>
        <v>  (1 page)</v>
      </c>
    </row>
    <row r="505" spans="1:8" ht="12.75">
      <c r="A505" t="s">
        <v>6</v>
      </c>
      <c r="B505" t="s">
        <v>476</v>
      </c>
      <c r="D505" t="s">
        <v>333</v>
      </c>
      <c r="E505" t="s">
        <v>333</v>
      </c>
      <c r="F505" t="s">
        <v>10</v>
      </c>
      <c r="G505" t="s">
        <v>11</v>
      </c>
      <c r="H505" s="1" t="str">
        <f>HYPERLINK("http://apps.fcc.gov/ecfs/document/view?id=7520943302","  (1 page)")</f>
        <v>  (1 page)</v>
      </c>
    </row>
    <row r="506" spans="1:8" ht="12.75">
      <c r="A506" t="s">
        <v>6</v>
      </c>
      <c r="B506" t="s">
        <v>477</v>
      </c>
      <c r="D506" t="s">
        <v>333</v>
      </c>
      <c r="E506" t="s">
        <v>333</v>
      </c>
      <c r="F506" t="s">
        <v>10</v>
      </c>
      <c r="G506" t="s">
        <v>11</v>
      </c>
      <c r="H506" s="1" t="str">
        <f>HYPERLINK("http://apps.fcc.gov/ecfs/document/view?id=7520943417","  (1 page)")</f>
        <v>  (1 page)</v>
      </c>
    </row>
    <row r="507" spans="1:8" ht="12.75">
      <c r="A507" t="s">
        <v>6</v>
      </c>
      <c r="B507" t="s">
        <v>478</v>
      </c>
      <c r="D507" t="s">
        <v>333</v>
      </c>
      <c r="E507" t="s">
        <v>333</v>
      </c>
      <c r="F507" t="s">
        <v>10</v>
      </c>
      <c r="G507" t="s">
        <v>11</v>
      </c>
      <c r="H507" s="1" t="str">
        <f>HYPERLINK("http://apps.fcc.gov/ecfs/document/view?id=7520943396","  (1 page)")</f>
        <v>  (1 page)</v>
      </c>
    </row>
    <row r="508" spans="1:8" ht="12.75">
      <c r="A508" t="s">
        <v>6</v>
      </c>
      <c r="B508" t="s">
        <v>479</v>
      </c>
      <c r="D508" t="s">
        <v>333</v>
      </c>
      <c r="E508" t="s">
        <v>333</v>
      </c>
      <c r="F508" t="s">
        <v>10</v>
      </c>
      <c r="G508" t="s">
        <v>11</v>
      </c>
      <c r="H508" s="1" t="str">
        <f>HYPERLINK("http://apps.fcc.gov/ecfs/document/view?id=7520943317","  (1 page)")</f>
        <v>  (1 page)</v>
      </c>
    </row>
    <row r="509" spans="1:8" ht="12.75">
      <c r="A509" t="s">
        <v>6</v>
      </c>
      <c r="B509" t="s">
        <v>480</v>
      </c>
      <c r="D509" t="s">
        <v>333</v>
      </c>
      <c r="E509" t="s">
        <v>333</v>
      </c>
      <c r="F509" t="s">
        <v>10</v>
      </c>
      <c r="G509" t="s">
        <v>11</v>
      </c>
      <c r="H509" s="1" t="str">
        <f>HYPERLINK("http://apps.fcc.gov/ecfs/document/view?id=7520943394","  (1 page)")</f>
        <v>  (1 page)</v>
      </c>
    </row>
    <row r="510" spans="1:8" ht="12.75">
      <c r="A510" t="s">
        <v>6</v>
      </c>
      <c r="B510" t="s">
        <v>481</v>
      </c>
      <c r="D510" t="s">
        <v>333</v>
      </c>
      <c r="E510" t="s">
        <v>333</v>
      </c>
      <c r="F510" t="s">
        <v>10</v>
      </c>
      <c r="G510" t="s">
        <v>11</v>
      </c>
      <c r="H510" s="1" t="str">
        <f>HYPERLINK("http://apps.fcc.gov/ecfs/document/view?id=7520943310","  (1 page)")</f>
        <v>  (1 page)</v>
      </c>
    </row>
    <row r="511" spans="1:8" ht="12.75">
      <c r="A511" t="s">
        <v>6</v>
      </c>
      <c r="B511" t="s">
        <v>482</v>
      </c>
      <c r="D511" t="s">
        <v>333</v>
      </c>
      <c r="E511" t="s">
        <v>333</v>
      </c>
      <c r="F511" t="s">
        <v>10</v>
      </c>
      <c r="G511" t="s">
        <v>11</v>
      </c>
      <c r="H511" s="1" t="str">
        <f>HYPERLINK("http://apps.fcc.gov/ecfs/document/view?id=7520943333","  (1 page)")</f>
        <v>  (1 page)</v>
      </c>
    </row>
    <row r="512" spans="1:8" ht="12.75">
      <c r="A512" t="s">
        <v>6</v>
      </c>
      <c r="B512" t="s">
        <v>483</v>
      </c>
      <c r="D512" t="s">
        <v>333</v>
      </c>
      <c r="E512" t="s">
        <v>333</v>
      </c>
      <c r="F512" t="s">
        <v>10</v>
      </c>
      <c r="G512" t="s">
        <v>11</v>
      </c>
      <c r="H512" s="1" t="str">
        <f>HYPERLINK("http://apps.fcc.gov/ecfs/document/view?id=7520943440","  (1 page)")</f>
        <v>  (1 page)</v>
      </c>
    </row>
    <row r="513" spans="1:8" ht="12.75">
      <c r="A513" t="s">
        <v>6</v>
      </c>
      <c r="B513" t="s">
        <v>484</v>
      </c>
      <c r="D513" t="s">
        <v>333</v>
      </c>
      <c r="E513" t="s">
        <v>333</v>
      </c>
      <c r="F513" t="s">
        <v>10</v>
      </c>
      <c r="G513" t="s">
        <v>11</v>
      </c>
      <c r="H513" s="1" t="str">
        <f>HYPERLINK("http://apps.fcc.gov/ecfs/document/view?id=7520943316","  (1 page)")</f>
        <v>  (1 page)</v>
      </c>
    </row>
    <row r="514" spans="1:8" ht="12.75">
      <c r="A514" t="s">
        <v>6</v>
      </c>
      <c r="B514" t="s">
        <v>485</v>
      </c>
      <c r="D514" t="s">
        <v>333</v>
      </c>
      <c r="E514" t="s">
        <v>333</v>
      </c>
      <c r="F514" t="s">
        <v>10</v>
      </c>
      <c r="G514" t="s">
        <v>11</v>
      </c>
      <c r="H514" s="1" t="str">
        <f>HYPERLINK("http://apps.fcc.gov/ecfs/document/view?id=7520943281","  (1 page)")</f>
        <v>  (1 page)</v>
      </c>
    </row>
    <row r="515" spans="1:8" ht="12.75">
      <c r="A515" t="s">
        <v>6</v>
      </c>
      <c r="B515" t="s">
        <v>486</v>
      </c>
      <c r="D515" t="s">
        <v>333</v>
      </c>
      <c r="E515" t="s">
        <v>333</v>
      </c>
      <c r="F515" t="s">
        <v>10</v>
      </c>
      <c r="G515" t="s">
        <v>11</v>
      </c>
      <c r="H515" s="1" t="str">
        <f>HYPERLINK("http://apps.fcc.gov/ecfs/document/view?id=7520943297","  (1 page)")</f>
        <v>  (1 page)</v>
      </c>
    </row>
    <row r="516" spans="1:8" ht="12.75">
      <c r="A516" t="s">
        <v>6</v>
      </c>
      <c r="B516" t="s">
        <v>487</v>
      </c>
      <c r="D516" t="s">
        <v>333</v>
      </c>
      <c r="E516" t="s">
        <v>333</v>
      </c>
      <c r="F516" t="s">
        <v>10</v>
      </c>
      <c r="G516" t="s">
        <v>11</v>
      </c>
      <c r="H516" s="1" t="str">
        <f>HYPERLINK("http://apps.fcc.gov/ecfs/document/view?id=7520943304","  (1 page)")</f>
        <v>  (1 page)</v>
      </c>
    </row>
    <row r="517" spans="1:8" ht="12.75">
      <c r="A517" t="s">
        <v>6</v>
      </c>
      <c r="B517" t="s">
        <v>488</v>
      </c>
      <c r="D517" t="s">
        <v>333</v>
      </c>
      <c r="E517" t="s">
        <v>333</v>
      </c>
      <c r="F517" t="s">
        <v>10</v>
      </c>
      <c r="G517" t="s">
        <v>11</v>
      </c>
      <c r="H517" s="1" t="str">
        <f>HYPERLINK("http://apps.fcc.gov/ecfs/document/view?id=7520943330","  (1 page)")</f>
        <v>  (1 page)</v>
      </c>
    </row>
    <row r="518" spans="1:8" ht="12.75">
      <c r="A518" t="s">
        <v>6</v>
      </c>
      <c r="B518" t="s">
        <v>489</v>
      </c>
      <c r="D518" t="s">
        <v>333</v>
      </c>
      <c r="E518" t="s">
        <v>333</v>
      </c>
      <c r="F518" t="s">
        <v>10</v>
      </c>
      <c r="G518" t="s">
        <v>11</v>
      </c>
      <c r="H518" s="1" t="str">
        <f>HYPERLINK("http://apps.fcc.gov/ecfs/document/view?id=7520943420","  (1 page)")</f>
        <v>  (1 page)</v>
      </c>
    </row>
    <row r="519" spans="1:8" ht="12.75">
      <c r="A519" t="s">
        <v>6</v>
      </c>
      <c r="B519" t="s">
        <v>490</v>
      </c>
      <c r="D519" t="s">
        <v>333</v>
      </c>
      <c r="E519" t="s">
        <v>333</v>
      </c>
      <c r="F519" t="s">
        <v>10</v>
      </c>
      <c r="G519" t="s">
        <v>11</v>
      </c>
      <c r="H519" s="1" t="str">
        <f>HYPERLINK("http://apps.fcc.gov/ecfs/document/view?id=7520943278","  (1 page)")</f>
        <v>  (1 page)</v>
      </c>
    </row>
    <row r="520" spans="1:8" ht="12.75">
      <c r="A520" t="s">
        <v>6</v>
      </c>
      <c r="B520" t="s">
        <v>491</v>
      </c>
      <c r="D520" t="s">
        <v>333</v>
      </c>
      <c r="E520" t="s">
        <v>333</v>
      </c>
      <c r="F520" t="s">
        <v>10</v>
      </c>
      <c r="G520" t="s">
        <v>11</v>
      </c>
      <c r="H520" s="1" t="str">
        <f>HYPERLINK("http://apps.fcc.gov/ecfs/document/view?id=7520943327","  (1 page)")</f>
        <v>  (1 page)</v>
      </c>
    </row>
    <row r="521" spans="1:8" ht="12.75">
      <c r="A521" t="s">
        <v>6</v>
      </c>
      <c r="B521" t="s">
        <v>492</v>
      </c>
      <c r="D521" t="s">
        <v>333</v>
      </c>
      <c r="E521" t="s">
        <v>333</v>
      </c>
      <c r="F521" t="s">
        <v>10</v>
      </c>
      <c r="G521" t="s">
        <v>11</v>
      </c>
      <c r="H521" s="1" t="str">
        <f>HYPERLINK("http://apps.fcc.gov/ecfs/document/view?id=7520943283","  (1 page)")</f>
        <v>  (1 page)</v>
      </c>
    </row>
    <row r="522" spans="1:8" ht="12.75">
      <c r="A522" t="s">
        <v>6</v>
      </c>
      <c r="B522" t="s">
        <v>493</v>
      </c>
      <c r="D522" t="s">
        <v>333</v>
      </c>
      <c r="E522" t="s">
        <v>333</v>
      </c>
      <c r="F522" t="s">
        <v>10</v>
      </c>
      <c r="G522" t="s">
        <v>11</v>
      </c>
      <c r="H522" s="1" t="str">
        <f>HYPERLINK("http://apps.fcc.gov/ecfs/document/view?id=7520943288","  (2 pages)")</f>
        <v>  (2 pages)</v>
      </c>
    </row>
    <row r="523" spans="1:8" ht="12.75">
      <c r="A523" t="s">
        <v>6</v>
      </c>
      <c r="B523" t="s">
        <v>494</v>
      </c>
      <c r="D523" t="s">
        <v>333</v>
      </c>
      <c r="E523" t="s">
        <v>333</v>
      </c>
      <c r="F523" t="s">
        <v>10</v>
      </c>
      <c r="G523" t="s">
        <v>11</v>
      </c>
      <c r="H523" s="1" t="str">
        <f>HYPERLINK("http://apps.fcc.gov/ecfs/document/view?id=7520943433","  (1 page)")</f>
        <v>  (1 page)</v>
      </c>
    </row>
    <row r="524" spans="1:8" ht="12.75">
      <c r="A524" t="s">
        <v>6</v>
      </c>
      <c r="B524" t="s">
        <v>495</v>
      </c>
      <c r="D524" t="s">
        <v>333</v>
      </c>
      <c r="E524" t="s">
        <v>333</v>
      </c>
      <c r="F524" t="s">
        <v>10</v>
      </c>
      <c r="G524" t="s">
        <v>11</v>
      </c>
      <c r="H524" s="1" t="str">
        <f>HYPERLINK("http://apps.fcc.gov/ecfs/document/view?id=7520943357"," (1 page)")</f>
        <v> (1 page)</v>
      </c>
    </row>
    <row r="525" spans="1:8" ht="12.75">
      <c r="A525" t="s">
        <v>6</v>
      </c>
      <c r="B525" t="s">
        <v>496</v>
      </c>
      <c r="D525" t="s">
        <v>333</v>
      </c>
      <c r="E525" t="s">
        <v>333</v>
      </c>
      <c r="F525" t="s">
        <v>10</v>
      </c>
      <c r="G525" t="s">
        <v>11</v>
      </c>
      <c r="H525" s="1" t="str">
        <f>HYPERLINK("http://apps.fcc.gov/ecfs/document/view?id=7520943366"," (1 page)")</f>
        <v> (1 page)</v>
      </c>
    </row>
    <row r="526" spans="1:8" ht="12.75">
      <c r="A526" t="s">
        <v>6</v>
      </c>
      <c r="B526" t="s">
        <v>497</v>
      </c>
      <c r="D526" t="s">
        <v>333</v>
      </c>
      <c r="E526" t="s">
        <v>333</v>
      </c>
      <c r="F526" t="s">
        <v>10</v>
      </c>
      <c r="G526" t="s">
        <v>11</v>
      </c>
      <c r="H526" s="1" t="str">
        <f>HYPERLINK("http://apps.fcc.gov/ecfs/document/view?id=7520943299","  (1 page)")</f>
        <v>  (1 page)</v>
      </c>
    </row>
    <row r="527" spans="1:8" ht="12.75">
      <c r="A527" t="s">
        <v>6</v>
      </c>
      <c r="B527" t="s">
        <v>498</v>
      </c>
      <c r="D527" t="s">
        <v>333</v>
      </c>
      <c r="E527" t="s">
        <v>333</v>
      </c>
      <c r="F527" t="s">
        <v>10</v>
      </c>
      <c r="G527" t="s">
        <v>11</v>
      </c>
      <c r="H527" s="1" t="str">
        <f>HYPERLINK("http://apps.fcc.gov/ecfs/document/view?id=7520943410"," (1 page)")</f>
        <v> (1 page)</v>
      </c>
    </row>
    <row r="528" spans="1:8" ht="12.75">
      <c r="A528" t="s">
        <v>6</v>
      </c>
      <c r="B528" t="s">
        <v>499</v>
      </c>
      <c r="D528" t="s">
        <v>333</v>
      </c>
      <c r="E528" t="s">
        <v>333</v>
      </c>
      <c r="F528" t="s">
        <v>10</v>
      </c>
      <c r="G528" t="s">
        <v>11</v>
      </c>
      <c r="H528" s="1" t="str">
        <f>HYPERLINK("http://apps.fcc.gov/ecfs/document/view?id=7520943384","  (1 page)")</f>
        <v>  (1 page)</v>
      </c>
    </row>
    <row r="529" spans="1:8" ht="12.75">
      <c r="A529" t="s">
        <v>6</v>
      </c>
      <c r="B529" t="s">
        <v>500</v>
      </c>
      <c r="D529" t="s">
        <v>333</v>
      </c>
      <c r="E529" t="s">
        <v>333</v>
      </c>
      <c r="F529" t="s">
        <v>10</v>
      </c>
      <c r="G529" t="s">
        <v>11</v>
      </c>
      <c r="H529" s="1" t="str">
        <f>HYPERLINK("http://apps.fcc.gov/ecfs/document/view?id=7520943421","  (1 page)")</f>
        <v>  (1 page)</v>
      </c>
    </row>
    <row r="530" spans="1:8" ht="12.75">
      <c r="A530" t="s">
        <v>6</v>
      </c>
      <c r="B530" t="s">
        <v>501</v>
      </c>
      <c r="D530" t="s">
        <v>333</v>
      </c>
      <c r="E530" t="s">
        <v>333</v>
      </c>
      <c r="F530" t="s">
        <v>10</v>
      </c>
      <c r="G530" t="s">
        <v>11</v>
      </c>
      <c r="H530" s="1" t="str">
        <f>HYPERLINK("http://apps.fcc.gov/ecfs/document/view?id=7520943409","  (1 page)")</f>
        <v>  (1 page)</v>
      </c>
    </row>
    <row r="531" spans="1:8" ht="12.75">
      <c r="A531" t="s">
        <v>6</v>
      </c>
      <c r="B531" t="s">
        <v>502</v>
      </c>
      <c r="D531" t="s">
        <v>333</v>
      </c>
      <c r="E531" t="s">
        <v>333</v>
      </c>
      <c r="F531" t="s">
        <v>10</v>
      </c>
      <c r="G531" t="s">
        <v>11</v>
      </c>
      <c r="H531" s="1" t="str">
        <f>HYPERLINK("http://apps.fcc.gov/ecfs/document/view?id=7520943263","  (1 page)")</f>
        <v>  (1 page)</v>
      </c>
    </row>
    <row r="532" spans="1:8" ht="12.75">
      <c r="A532" t="s">
        <v>6</v>
      </c>
      <c r="B532" t="s">
        <v>503</v>
      </c>
      <c r="D532" t="s">
        <v>333</v>
      </c>
      <c r="E532" t="s">
        <v>333</v>
      </c>
      <c r="F532" t="s">
        <v>10</v>
      </c>
      <c r="G532" t="s">
        <v>11</v>
      </c>
      <c r="H532" s="1" t="str">
        <f>HYPERLINK("http://apps.fcc.gov/ecfs/document/view?id=7520943265","  (1 page)")</f>
        <v>  (1 page)</v>
      </c>
    </row>
    <row r="533" spans="1:8" ht="12.75">
      <c r="A533" t="s">
        <v>6</v>
      </c>
      <c r="B533" t="s">
        <v>504</v>
      </c>
      <c r="D533" t="s">
        <v>333</v>
      </c>
      <c r="E533" t="s">
        <v>333</v>
      </c>
      <c r="F533" t="s">
        <v>10</v>
      </c>
      <c r="G533" t="s">
        <v>11</v>
      </c>
      <c r="H533" s="1" t="str">
        <f>HYPERLINK("http://apps.fcc.gov/ecfs/document/view?id=7520943275","  (1 page)")</f>
        <v>  (1 page)</v>
      </c>
    </row>
    <row r="534" spans="1:8" ht="12.75">
      <c r="A534" t="s">
        <v>6</v>
      </c>
      <c r="B534" t="s">
        <v>505</v>
      </c>
      <c r="D534" t="s">
        <v>333</v>
      </c>
      <c r="E534" t="s">
        <v>333</v>
      </c>
      <c r="F534" t="s">
        <v>10</v>
      </c>
      <c r="G534" t="s">
        <v>11</v>
      </c>
      <c r="H534" s="1" t="str">
        <f>HYPERLINK("http://apps.fcc.gov/ecfs/document/view?id=7520943272","  (1 page)")</f>
        <v>  (1 page)</v>
      </c>
    </row>
    <row r="535" spans="1:8" ht="12.75">
      <c r="A535" t="s">
        <v>6</v>
      </c>
      <c r="B535" t="s">
        <v>506</v>
      </c>
      <c r="D535" t="s">
        <v>333</v>
      </c>
      <c r="E535" t="s">
        <v>333</v>
      </c>
      <c r="F535" t="s">
        <v>10</v>
      </c>
      <c r="G535" t="s">
        <v>11</v>
      </c>
      <c r="H535" s="1" t="str">
        <f>HYPERLINK("http://apps.fcc.gov/ecfs/document/view?id=7520943268","E Rate Comments (2 pages)")</f>
        <v>E Rate Comments (2 pages)</v>
      </c>
    </row>
    <row r="536" spans="1:8" ht="12.75">
      <c r="A536" t="s">
        <v>6</v>
      </c>
      <c r="B536" t="s">
        <v>507</v>
      </c>
      <c r="D536" t="s">
        <v>333</v>
      </c>
      <c r="E536" t="s">
        <v>333</v>
      </c>
      <c r="F536" t="s">
        <v>10</v>
      </c>
      <c r="G536" t="s">
        <v>11</v>
      </c>
      <c r="H536" s="1" t="str">
        <f>HYPERLINK("http://apps.fcc.gov/ecfs/document/view?id=7520943259","  (1 page)")</f>
        <v>  (1 page)</v>
      </c>
    </row>
    <row r="537" spans="1:8" ht="12.75">
      <c r="A537" t="s">
        <v>6</v>
      </c>
      <c r="B537" t="s">
        <v>508</v>
      </c>
      <c r="D537" t="s">
        <v>333</v>
      </c>
      <c r="E537" t="s">
        <v>333</v>
      </c>
      <c r="F537" t="s">
        <v>10</v>
      </c>
      <c r="G537" t="s">
        <v>11</v>
      </c>
      <c r="H537" s="1" t="str">
        <f>HYPERLINK("http://apps.fcc.gov/ecfs/document/view?id=7520943260","  (1 page)")</f>
        <v>  (1 page)</v>
      </c>
    </row>
    <row r="538" spans="1:8" ht="12.75">
      <c r="A538" t="s">
        <v>6</v>
      </c>
      <c r="B538" t="s">
        <v>509</v>
      </c>
      <c r="D538" t="s">
        <v>333</v>
      </c>
      <c r="E538" t="s">
        <v>333</v>
      </c>
      <c r="F538" t="s">
        <v>10</v>
      </c>
      <c r="G538" t="s">
        <v>11</v>
      </c>
      <c r="H538" s="1" t="str">
        <f>HYPERLINK("http://apps.fcc.gov/ecfs/document/view?id=7520943262","  (1 page)")</f>
        <v>  (1 page)</v>
      </c>
    </row>
    <row r="539" spans="1:8" ht="12.75">
      <c r="A539" t="s">
        <v>6</v>
      </c>
      <c r="B539" t="s">
        <v>510</v>
      </c>
      <c r="D539" t="s">
        <v>333</v>
      </c>
      <c r="E539" t="s">
        <v>333</v>
      </c>
      <c r="F539" t="s">
        <v>10</v>
      </c>
      <c r="G539" t="s">
        <v>11</v>
      </c>
      <c r="H539" s="1" t="str">
        <f>HYPERLINK("http://apps.fcc.gov/ecfs/document/view?id=7520943254","  (1 page)")</f>
        <v>  (1 page)</v>
      </c>
    </row>
    <row r="540" spans="1:8" ht="12.75">
      <c r="A540" t="s">
        <v>6</v>
      </c>
      <c r="B540" t="s">
        <v>511</v>
      </c>
      <c r="D540" t="s">
        <v>333</v>
      </c>
      <c r="E540" t="s">
        <v>333</v>
      </c>
      <c r="F540" t="s">
        <v>10</v>
      </c>
      <c r="G540" t="s">
        <v>11</v>
      </c>
      <c r="H540" s="1" t="str">
        <f>HYPERLINK("http://apps.fcc.gov/ecfs/document/view?id=7520943273"," (1 page)")</f>
        <v> (1 page)</v>
      </c>
    </row>
    <row r="541" spans="1:8" ht="12.75">
      <c r="A541" t="s">
        <v>6</v>
      </c>
      <c r="B541" t="s">
        <v>512</v>
      </c>
      <c r="D541" t="s">
        <v>333</v>
      </c>
      <c r="E541" t="s">
        <v>333</v>
      </c>
      <c r="F541" t="s">
        <v>10</v>
      </c>
      <c r="G541" t="s">
        <v>11</v>
      </c>
      <c r="H541" s="1" t="str">
        <f>HYPERLINK("http://apps.fcc.gov/ecfs/document/view?id=7520943256","  (1 page)")</f>
        <v>  (1 page)</v>
      </c>
    </row>
    <row r="542" spans="1:8" ht="12.75">
      <c r="A542" t="s">
        <v>6</v>
      </c>
      <c r="B542" t="s">
        <v>513</v>
      </c>
      <c r="D542" t="s">
        <v>333</v>
      </c>
      <c r="E542" t="s">
        <v>333</v>
      </c>
      <c r="F542" t="s">
        <v>10</v>
      </c>
      <c r="G542" t="s">
        <v>11</v>
      </c>
      <c r="H542" s="1" t="str">
        <f>HYPERLINK("http://apps.fcc.gov/ecfs/document/view?id=7520943252","  (1 page)")</f>
        <v>  (1 page)</v>
      </c>
    </row>
    <row r="543" spans="1:8" ht="12.75">
      <c r="A543" t="s">
        <v>6</v>
      </c>
      <c r="B543" t="s">
        <v>514</v>
      </c>
      <c r="D543" t="s">
        <v>333</v>
      </c>
      <c r="E543" t="s">
        <v>333</v>
      </c>
      <c r="F543" t="s">
        <v>10</v>
      </c>
      <c r="G543" t="s">
        <v>11</v>
      </c>
      <c r="H543" s="1" t="str">
        <f>HYPERLINK("http://apps.fcc.gov/ecfs/document/view?id=7520943258","  (1 page)")</f>
        <v>  (1 page)</v>
      </c>
    </row>
    <row r="544" spans="1:8" ht="12.75">
      <c r="A544" t="s">
        <v>6</v>
      </c>
      <c r="B544" t="s">
        <v>515</v>
      </c>
      <c r="D544" t="s">
        <v>333</v>
      </c>
      <c r="E544" t="s">
        <v>333</v>
      </c>
      <c r="F544" t="s">
        <v>10</v>
      </c>
      <c r="G544" t="s">
        <v>11</v>
      </c>
      <c r="H544" s="1" t="str">
        <f>HYPERLINK("http://apps.fcc.gov/ecfs/document/view?id=7520943253","  (1 page)")</f>
        <v>  (1 page)</v>
      </c>
    </row>
    <row r="545" spans="1:8" ht="12.75">
      <c r="A545" t="s">
        <v>6</v>
      </c>
      <c r="B545" t="s">
        <v>516</v>
      </c>
      <c r="D545" t="s">
        <v>333</v>
      </c>
      <c r="E545" t="s">
        <v>333</v>
      </c>
      <c r="F545" t="s">
        <v>10</v>
      </c>
      <c r="G545" t="s">
        <v>11</v>
      </c>
      <c r="H545" s="1" t="str">
        <f>HYPERLINK("http://apps.fcc.gov/ecfs/document/view?id=7520943257","  (1 page)")</f>
        <v>  (1 page)</v>
      </c>
    </row>
    <row r="546" spans="1:8" ht="12.75">
      <c r="A546" t="s">
        <v>6</v>
      </c>
      <c r="B546" t="s">
        <v>517</v>
      </c>
      <c r="D546" t="s">
        <v>333</v>
      </c>
      <c r="E546" t="s">
        <v>333</v>
      </c>
      <c r="F546" t="s">
        <v>10</v>
      </c>
      <c r="G546" t="s">
        <v>11</v>
      </c>
      <c r="H546" s="1" t="str">
        <f>HYPERLINK("http://apps.fcc.gov/ecfs/document/view?id=7520943276","  (1 page)")</f>
        <v>  (1 page)</v>
      </c>
    </row>
    <row r="547" spans="1:8" ht="12.75">
      <c r="A547" t="s">
        <v>6</v>
      </c>
      <c r="B547" t="s">
        <v>518</v>
      </c>
      <c r="D547" t="s">
        <v>333</v>
      </c>
      <c r="E547" t="s">
        <v>333</v>
      </c>
      <c r="F547" t="s">
        <v>10</v>
      </c>
      <c r="G547" t="s">
        <v>11</v>
      </c>
      <c r="H547" s="1" t="str">
        <f>HYPERLINK("http://apps.fcc.gov/ecfs/document/view?id=7520943266","  (1 page)")</f>
        <v>  (1 page)</v>
      </c>
    </row>
    <row r="548" spans="1:8" ht="12.75">
      <c r="A548" t="s">
        <v>6</v>
      </c>
      <c r="B548" t="s">
        <v>519</v>
      </c>
      <c r="D548" t="s">
        <v>333</v>
      </c>
      <c r="E548" t="s">
        <v>333</v>
      </c>
      <c r="F548" t="s">
        <v>10</v>
      </c>
      <c r="G548" t="s">
        <v>11</v>
      </c>
      <c r="H548" s="1" t="str">
        <f>HYPERLINK("http://apps.fcc.gov/ecfs/document/view?id=7520943255","  (1 page)")</f>
        <v>  (1 page)</v>
      </c>
    </row>
    <row r="549" spans="1:8" ht="12.75">
      <c r="A549" t="s">
        <v>6</v>
      </c>
      <c r="B549" t="s">
        <v>520</v>
      </c>
      <c r="D549" t="s">
        <v>333</v>
      </c>
      <c r="E549" t="s">
        <v>333</v>
      </c>
      <c r="F549" t="s">
        <v>10</v>
      </c>
      <c r="G549" t="s">
        <v>11</v>
      </c>
      <c r="H549" s="1" t="str">
        <f>HYPERLINK("http://apps.fcc.gov/ecfs/document/view?id=7520943261","  (1 page)")</f>
        <v>  (1 page)</v>
      </c>
    </row>
    <row r="550" spans="1:8" ht="12.75">
      <c r="A550" t="s">
        <v>6</v>
      </c>
      <c r="B550" t="s">
        <v>521</v>
      </c>
      <c r="D550" t="s">
        <v>333</v>
      </c>
      <c r="E550" t="s">
        <v>333</v>
      </c>
      <c r="F550" t="s">
        <v>10</v>
      </c>
      <c r="G550" t="s">
        <v>11</v>
      </c>
      <c r="H550" s="1" t="str">
        <f>HYPERLINK("http://apps.fcc.gov/ecfs/document/view?id=7520943271","  (2 pages)")</f>
        <v>  (2 pages)</v>
      </c>
    </row>
    <row r="551" spans="1:8" ht="12.75">
      <c r="A551" t="s">
        <v>6</v>
      </c>
      <c r="B551" t="s">
        <v>522</v>
      </c>
      <c r="D551" t="s">
        <v>333</v>
      </c>
      <c r="E551" t="s">
        <v>333</v>
      </c>
      <c r="F551" t="s">
        <v>10</v>
      </c>
      <c r="G551" t="s">
        <v>11</v>
      </c>
      <c r="H551" s="1" t="str">
        <f>HYPERLINK("http://apps.fcc.gov/ecfs/document/view?id=7520943269","  (1 page)")</f>
        <v>  (1 page)</v>
      </c>
    </row>
    <row r="552" spans="1:8" ht="12.75">
      <c r="A552" t="s">
        <v>6</v>
      </c>
      <c r="B552" t="s">
        <v>523</v>
      </c>
      <c r="D552" t="s">
        <v>524</v>
      </c>
      <c r="E552" t="s">
        <v>333</v>
      </c>
      <c r="F552" t="s">
        <v>10</v>
      </c>
      <c r="G552" t="s">
        <v>11</v>
      </c>
      <c r="H552" s="1" t="str">
        <f>HYPERLINK("http://apps.fcc.gov/ecfs/document/view?id=7520943178","13 184 NPRM eDimension (5 pages)")</f>
        <v>13 184 NPRM eDimension (5 pages)</v>
      </c>
    </row>
    <row r="553" spans="1:8" ht="12.75">
      <c r="A553" t="s">
        <v>6</v>
      </c>
      <c r="B553" t="s">
        <v>525</v>
      </c>
      <c r="D553" t="s">
        <v>333</v>
      </c>
      <c r="E553" t="s">
        <v>333</v>
      </c>
      <c r="F553" t="s">
        <v>10</v>
      </c>
      <c r="G553" t="s">
        <v>11</v>
      </c>
      <c r="H553" s="1" t="str">
        <f>HYPERLINK("http://apps.fcc.gov/ecfs/document/view?id=7520943234"," (1 page)")</f>
        <v> (1 page)</v>
      </c>
    </row>
    <row r="554" spans="1:8" ht="12.75">
      <c r="A554" t="s">
        <v>6</v>
      </c>
      <c r="B554" t="s">
        <v>526</v>
      </c>
      <c r="D554" t="s">
        <v>333</v>
      </c>
      <c r="E554" t="s">
        <v>333</v>
      </c>
      <c r="F554" t="s">
        <v>10</v>
      </c>
      <c r="G554" t="s">
        <v>11</v>
      </c>
      <c r="H554" s="1" t="str">
        <f>HYPERLINK("http://apps.fcc.gov/ecfs/document/view?id=7520943251","  (1 page)")</f>
        <v>  (1 page)</v>
      </c>
    </row>
    <row r="555" spans="1:8" ht="12.75">
      <c r="A555" t="s">
        <v>6</v>
      </c>
      <c r="B555" t="s">
        <v>527</v>
      </c>
      <c r="D555" t="s">
        <v>333</v>
      </c>
      <c r="E555" t="s">
        <v>333</v>
      </c>
      <c r="F555" t="s">
        <v>10</v>
      </c>
      <c r="G555" t="s">
        <v>11</v>
      </c>
      <c r="H555" s="1" t="str">
        <f>HYPERLINK("http://apps.fcc.gov/ecfs/document/view?id=7520943224","St Sebastian Regional School s e Rate comments (1 page)")</f>
        <v>St Sebastian Regional School s e Rate comments (1 page)</v>
      </c>
    </row>
    <row r="556" spans="1:8" ht="12.75">
      <c r="A556" t="s">
        <v>6</v>
      </c>
      <c r="B556" t="s">
        <v>528</v>
      </c>
      <c r="D556" t="s">
        <v>524</v>
      </c>
      <c r="E556" t="s">
        <v>333</v>
      </c>
      <c r="F556" t="s">
        <v>10</v>
      </c>
      <c r="G556" t="s">
        <v>11</v>
      </c>
      <c r="H556" s="1" t="str">
        <f>HYPERLINK("http://apps.fcc.gov/ecfs/document/view?id=7520943136","  (1 page)")</f>
        <v>  (1 page)</v>
      </c>
    </row>
    <row r="557" spans="1:8" ht="12.75">
      <c r="A557" t="s">
        <v>6</v>
      </c>
      <c r="B557" t="s">
        <v>529</v>
      </c>
      <c r="D557" t="s">
        <v>524</v>
      </c>
      <c r="E557" t="s">
        <v>333</v>
      </c>
      <c r="F557" t="s">
        <v>10</v>
      </c>
      <c r="G557" t="s">
        <v>11</v>
      </c>
      <c r="H557" s="1" t="str">
        <f>HYPERLINK("http://apps.fcc.gov/ecfs/document/view?id=7520943212","comment on erate NPRM (2 pages)")</f>
        <v>comment on erate NPRM (2 pages)</v>
      </c>
    </row>
    <row r="558" spans="1:8" ht="12.75">
      <c r="A558" t="s">
        <v>6</v>
      </c>
      <c r="B558" t="s">
        <v>530</v>
      </c>
      <c r="D558" t="s">
        <v>524</v>
      </c>
      <c r="E558" t="s">
        <v>333</v>
      </c>
      <c r="F558" t="s">
        <v>10</v>
      </c>
      <c r="G558" t="s">
        <v>11</v>
      </c>
      <c r="H558" s="1" t="str">
        <f>HYPERLINK("http://apps.fcc.gov/ecfs/document/view?id=7520943211"," (1 page)")</f>
        <v> (1 page)</v>
      </c>
    </row>
    <row r="559" spans="1:8" ht="12.75">
      <c r="A559" t="s">
        <v>6</v>
      </c>
      <c r="B559" t="s">
        <v>531</v>
      </c>
      <c r="D559" t="s">
        <v>333</v>
      </c>
      <c r="E559" t="s">
        <v>333</v>
      </c>
      <c r="F559" t="s">
        <v>10</v>
      </c>
      <c r="G559" t="s">
        <v>11</v>
      </c>
      <c r="H559" s="1" t="str">
        <f>HYPERLINK("http://apps.fcc.gov/ecfs/document/view?id=7520943217","  (1 page)")</f>
        <v>  (1 page)</v>
      </c>
    </row>
    <row r="560" spans="1:8" ht="12.75">
      <c r="A560" t="s">
        <v>6</v>
      </c>
      <c r="B560" t="s">
        <v>532</v>
      </c>
      <c r="D560" t="s">
        <v>333</v>
      </c>
      <c r="E560" t="s">
        <v>333</v>
      </c>
      <c r="F560" t="s">
        <v>10</v>
      </c>
      <c r="G560" t="s">
        <v>11</v>
      </c>
      <c r="H560" s="1" t="str">
        <f>HYPERLINK("http://apps.fcc.gov/ecfs/document/view?id=7520943227"," (1 page)")</f>
        <v> (1 page)</v>
      </c>
    </row>
    <row r="561" spans="1:8" ht="12.75">
      <c r="A561" t="s">
        <v>6</v>
      </c>
      <c r="B561" t="s">
        <v>513</v>
      </c>
      <c r="D561" t="s">
        <v>524</v>
      </c>
      <c r="E561" t="s">
        <v>333</v>
      </c>
      <c r="F561" t="s">
        <v>10</v>
      </c>
      <c r="G561" t="s">
        <v>11</v>
      </c>
      <c r="H561" s="1" t="str">
        <f>HYPERLINK("http://apps.fcc.gov/ecfs/document/view?id=7520943146","  (1 page)")</f>
        <v>  (1 page)</v>
      </c>
    </row>
    <row r="562" spans="1:8" ht="12.75">
      <c r="A562" t="s">
        <v>6</v>
      </c>
      <c r="B562" t="s">
        <v>533</v>
      </c>
      <c r="D562" t="s">
        <v>333</v>
      </c>
      <c r="E562" t="s">
        <v>333</v>
      </c>
      <c r="F562" t="s">
        <v>10</v>
      </c>
      <c r="G562" t="s">
        <v>11</v>
      </c>
      <c r="H562" s="1" t="str">
        <f>HYPERLINK("http://apps.fcc.gov/ecfs/document/view?id=7520943248","  (1 page)")</f>
        <v>  (1 page)</v>
      </c>
    </row>
    <row r="563" spans="1:8" ht="12.75">
      <c r="A563" t="s">
        <v>6</v>
      </c>
      <c r="B563" t="s">
        <v>533</v>
      </c>
      <c r="D563" t="s">
        <v>524</v>
      </c>
      <c r="E563" t="s">
        <v>333</v>
      </c>
      <c r="F563" t="s">
        <v>10</v>
      </c>
      <c r="G563" t="s">
        <v>11</v>
      </c>
      <c r="H563" s="1" t="str">
        <f>HYPERLINK("http://apps.fcc.gov/ecfs/document/view?id=7520943175","  (1 page)")</f>
        <v>  (1 page)</v>
      </c>
    </row>
    <row r="564" spans="1:8" ht="12.75">
      <c r="A564" t="s">
        <v>6</v>
      </c>
      <c r="B564" t="s">
        <v>533</v>
      </c>
      <c r="D564" t="s">
        <v>524</v>
      </c>
      <c r="E564" t="s">
        <v>333</v>
      </c>
      <c r="F564" t="s">
        <v>10</v>
      </c>
      <c r="G564" t="s">
        <v>11</v>
      </c>
      <c r="H564" s="1" t="str">
        <f>HYPERLINK("http://apps.fcc.gov/ecfs/document/view?id=7520943132","  (1 page)")</f>
        <v>  (1 page)</v>
      </c>
    </row>
    <row r="565" spans="1:8" ht="12.75">
      <c r="A565" t="s">
        <v>6</v>
      </c>
      <c r="B565" t="s">
        <v>534</v>
      </c>
      <c r="D565" t="s">
        <v>333</v>
      </c>
      <c r="E565" t="s">
        <v>333</v>
      </c>
      <c r="F565" t="s">
        <v>10</v>
      </c>
      <c r="G565" t="s">
        <v>11</v>
      </c>
      <c r="H565" s="1" t="str">
        <f>HYPERLINK("http://apps.fcc.gov/ecfs/document/view?id=7520943243","  (1 page)")</f>
        <v>  (1 page)</v>
      </c>
    </row>
    <row r="566" spans="1:8" ht="12.75">
      <c r="A566" t="s">
        <v>6</v>
      </c>
      <c r="B566" t="s">
        <v>534</v>
      </c>
      <c r="D566" t="s">
        <v>524</v>
      </c>
      <c r="E566" t="s">
        <v>333</v>
      </c>
      <c r="F566" t="s">
        <v>10</v>
      </c>
      <c r="G566" t="s">
        <v>11</v>
      </c>
      <c r="H566" s="1" t="str">
        <f>HYPERLINK("http://apps.fcc.gov/ecfs/document/view?id=7520943174","  (1 page)")</f>
        <v>  (1 page)</v>
      </c>
    </row>
    <row r="567" spans="1:8" ht="12.75">
      <c r="A567" t="s">
        <v>6</v>
      </c>
      <c r="B567" t="s">
        <v>534</v>
      </c>
      <c r="D567" t="s">
        <v>524</v>
      </c>
      <c r="E567" t="s">
        <v>333</v>
      </c>
      <c r="F567" t="s">
        <v>10</v>
      </c>
      <c r="G567" t="s">
        <v>11</v>
      </c>
      <c r="H567" s="1" t="str">
        <f>HYPERLINK("http://apps.fcc.gov/ecfs/document/view?id=7520943125","  (1 page)")</f>
        <v>  (1 page)</v>
      </c>
    </row>
    <row r="568" spans="1:8" ht="12.75">
      <c r="A568" t="s">
        <v>6</v>
      </c>
      <c r="B568" t="s">
        <v>515</v>
      </c>
      <c r="D568" t="s">
        <v>524</v>
      </c>
      <c r="E568" t="s">
        <v>333</v>
      </c>
      <c r="F568" t="s">
        <v>10</v>
      </c>
      <c r="G568" t="s">
        <v>11</v>
      </c>
      <c r="H568" s="1" t="str">
        <f>HYPERLINK("http://apps.fcc.gov/ecfs/document/view?id=7520943158","  (1 page)")</f>
        <v>  (1 page)</v>
      </c>
    </row>
    <row r="569" spans="1:8" ht="12.75">
      <c r="A569" t="s">
        <v>6</v>
      </c>
      <c r="B569" t="s">
        <v>535</v>
      </c>
      <c r="D569" t="s">
        <v>333</v>
      </c>
      <c r="E569" t="s">
        <v>333</v>
      </c>
      <c r="F569" t="s">
        <v>10</v>
      </c>
      <c r="G569" t="s">
        <v>11</v>
      </c>
      <c r="H569" s="1" t="str">
        <f>HYPERLINK("http://apps.fcc.gov/ecfs/document/view?id=7520943229"," (2 pages)")</f>
        <v> (2 pages)</v>
      </c>
    </row>
    <row r="570" spans="1:8" ht="12.75">
      <c r="A570" t="s">
        <v>6</v>
      </c>
      <c r="B570" t="s">
        <v>536</v>
      </c>
      <c r="D570" t="s">
        <v>333</v>
      </c>
      <c r="E570" t="s">
        <v>333</v>
      </c>
      <c r="F570" t="s">
        <v>10</v>
      </c>
      <c r="G570" t="s">
        <v>11</v>
      </c>
      <c r="H570" s="1" t="str">
        <f>HYPERLINK("http://apps.fcc.gov/ecfs/document/view?id=7520943228"," (1 page)")</f>
        <v> (1 page)</v>
      </c>
    </row>
    <row r="571" spans="1:8" ht="12.75">
      <c r="A571" t="s">
        <v>6</v>
      </c>
      <c r="B571" t="s">
        <v>537</v>
      </c>
      <c r="D571" t="s">
        <v>524</v>
      </c>
      <c r="E571" t="s">
        <v>333</v>
      </c>
      <c r="F571" t="s">
        <v>10</v>
      </c>
      <c r="G571" t="s">
        <v>11</v>
      </c>
      <c r="H571" s="1" t="str">
        <f>HYPERLINK("http://apps.fcc.gov/ecfs/document/view?id=7520943204"," (1 page)")</f>
        <v> (1 page)</v>
      </c>
    </row>
    <row r="572" spans="1:8" ht="12.75">
      <c r="A572" t="s">
        <v>6</v>
      </c>
      <c r="B572" t="s">
        <v>538</v>
      </c>
      <c r="D572" t="s">
        <v>333</v>
      </c>
      <c r="E572" t="s">
        <v>333</v>
      </c>
      <c r="F572" t="s">
        <v>10</v>
      </c>
      <c r="G572" t="s">
        <v>11</v>
      </c>
      <c r="H572" s="1" t="str">
        <f>HYPERLINK("http://apps.fcc.gov/ecfs/document/view?id=7520943250","  (1 page)")</f>
        <v>  (1 page)</v>
      </c>
    </row>
    <row r="573" spans="1:8" ht="12.75">
      <c r="A573" t="s">
        <v>6</v>
      </c>
      <c r="B573" t="s">
        <v>539</v>
      </c>
      <c r="D573" t="s">
        <v>333</v>
      </c>
      <c r="E573" t="s">
        <v>333</v>
      </c>
      <c r="F573" t="s">
        <v>10</v>
      </c>
      <c r="G573" t="s">
        <v>11</v>
      </c>
      <c r="H573" s="1" t="str">
        <f>HYPERLINK("http://apps.fcc.gov/ecfs/document/view?id=7520943223","Yorktown CS on ERATE (1 page)")</f>
        <v>Yorktown CS on ERATE (1 page)</v>
      </c>
    </row>
    <row r="574" spans="1:8" ht="12.75">
      <c r="A574" t="s">
        <v>6</v>
      </c>
      <c r="B574" t="s">
        <v>540</v>
      </c>
      <c r="D574" t="s">
        <v>333</v>
      </c>
      <c r="E574" t="s">
        <v>333</v>
      </c>
      <c r="F574" t="s">
        <v>10</v>
      </c>
      <c r="G574" t="s">
        <v>11</v>
      </c>
      <c r="H574" s="1" t="str">
        <f>HYPERLINK("http://apps.fcc.gov/ecfs/document/view?id=7520943230"," (1 page)")</f>
        <v> (1 page)</v>
      </c>
    </row>
    <row r="575" spans="1:8" ht="12.75">
      <c r="A575" t="s">
        <v>6</v>
      </c>
      <c r="B575" t="s">
        <v>541</v>
      </c>
      <c r="D575" t="s">
        <v>524</v>
      </c>
      <c r="E575" t="s">
        <v>333</v>
      </c>
      <c r="F575" t="s">
        <v>10</v>
      </c>
      <c r="G575" t="s">
        <v>11</v>
      </c>
      <c r="H575" s="1" t="str">
        <f>HYPERLINK("http://apps.fcc.gov/ecfs/document/view?id=7520943161","  (1 page)")</f>
        <v>  (1 page)</v>
      </c>
    </row>
    <row r="576" spans="1:8" ht="12.75">
      <c r="A576" t="s">
        <v>6</v>
      </c>
      <c r="B576" t="s">
        <v>542</v>
      </c>
      <c r="D576" t="s">
        <v>333</v>
      </c>
      <c r="E576" t="s">
        <v>333</v>
      </c>
      <c r="F576" t="s">
        <v>10</v>
      </c>
      <c r="G576" t="s">
        <v>11</v>
      </c>
      <c r="H576" s="1" t="str">
        <f>HYPERLINK("http://apps.fcc.gov/ecfs/document/view?id=7520943225","  (10 pages)")</f>
        <v>  (10 pages)</v>
      </c>
    </row>
    <row r="577" spans="1:8" ht="12.75">
      <c r="A577" t="s">
        <v>6</v>
      </c>
      <c r="B577" t="s">
        <v>543</v>
      </c>
      <c r="D577" t="s">
        <v>524</v>
      </c>
      <c r="E577" t="s">
        <v>333</v>
      </c>
      <c r="F577" t="s">
        <v>10</v>
      </c>
      <c r="G577" t="s">
        <v>11</v>
      </c>
      <c r="H577" s="1" t="str">
        <f>HYPERLINK("http://apps.fcc.gov/ecfs/document/view?id=7520943208"," (1 page)")</f>
        <v> (1 page)</v>
      </c>
    </row>
    <row r="578" spans="1:8" ht="12.75">
      <c r="A578" t="s">
        <v>6</v>
      </c>
      <c r="B578" t="s">
        <v>544</v>
      </c>
      <c r="D578" t="s">
        <v>524</v>
      </c>
      <c r="E578" t="s">
        <v>333</v>
      </c>
      <c r="F578" t="s">
        <v>10</v>
      </c>
      <c r="G578" t="s">
        <v>11</v>
      </c>
      <c r="H578" s="1" t="str">
        <f>HYPERLINK("http://apps.fcc.gov/ecfs/document/view?id=7520943184","NPRM Comments (3 pages)")</f>
        <v>NPRM Comments (3 pages)</v>
      </c>
    </row>
    <row r="579" spans="1:8" ht="12.75">
      <c r="A579" t="s">
        <v>6</v>
      </c>
      <c r="B579" t="s">
        <v>545</v>
      </c>
      <c r="D579" t="s">
        <v>524</v>
      </c>
      <c r="E579" t="s">
        <v>333</v>
      </c>
      <c r="F579" t="s">
        <v>10</v>
      </c>
      <c r="G579" t="s">
        <v>11</v>
      </c>
      <c r="H579" s="1" t="str">
        <f>HYPERLINK("http://apps.fcc.gov/ecfs/document/view?id=7520943207","Commentary on E rate changes in PDF format (1 page)")</f>
        <v>Commentary on E rate changes in PDF format (1 page)</v>
      </c>
    </row>
    <row r="580" spans="1:8" ht="12.75">
      <c r="A580" t="s">
        <v>6</v>
      </c>
      <c r="B580" t="s">
        <v>546</v>
      </c>
      <c r="D580" t="s">
        <v>333</v>
      </c>
      <c r="E580" t="s">
        <v>333</v>
      </c>
      <c r="F580" t="s">
        <v>10</v>
      </c>
      <c r="G580" t="s">
        <v>11</v>
      </c>
      <c r="H580" s="1" t="str">
        <f>HYPERLINK("http://apps.fcc.gov/ecfs/document/view?id=7520943233"," (1 page)")</f>
        <v> (1 page)</v>
      </c>
    </row>
    <row r="581" spans="1:8" ht="12.75">
      <c r="A581" t="s">
        <v>6</v>
      </c>
      <c r="B581" t="s">
        <v>547</v>
      </c>
      <c r="D581" t="s">
        <v>524</v>
      </c>
      <c r="E581" t="s">
        <v>333</v>
      </c>
      <c r="F581" t="s">
        <v>10</v>
      </c>
      <c r="G581" t="s">
        <v>11</v>
      </c>
      <c r="H581" s="1" t="str">
        <f>HYPERLINK("http://apps.fcc.gov/ecfs/document/view?id=7520943183","  (2 pages)")</f>
        <v>  (2 pages)</v>
      </c>
    </row>
    <row r="582" spans="1:8" ht="12.75">
      <c r="A582" t="s">
        <v>6</v>
      </c>
      <c r="B582" t="s">
        <v>548</v>
      </c>
      <c r="D582" t="s">
        <v>333</v>
      </c>
      <c r="E582" t="s">
        <v>333</v>
      </c>
      <c r="F582" t="s">
        <v>10</v>
      </c>
      <c r="G582" t="s">
        <v>11</v>
      </c>
      <c r="H582" s="1" t="str">
        <f>HYPERLINK("http://apps.fcc.gov/ecfs/document/view?id=7520943222","  (1 page)")</f>
        <v>  (1 page)</v>
      </c>
    </row>
    <row r="583" spans="1:8" ht="12.75">
      <c r="A583" t="s">
        <v>6</v>
      </c>
      <c r="B583" t="s">
        <v>549</v>
      </c>
      <c r="D583" t="s">
        <v>524</v>
      </c>
      <c r="E583" t="s">
        <v>333</v>
      </c>
      <c r="F583" t="s">
        <v>10</v>
      </c>
      <c r="G583" t="s">
        <v>11</v>
      </c>
      <c r="H583" s="1" t="str">
        <f>HYPERLINK("http://apps.fcc.gov/ecfs/document/view?id=7520943185"," (1 page)")</f>
        <v> (1 page)</v>
      </c>
    </row>
    <row r="584" spans="1:8" ht="12.75">
      <c r="A584" t="s">
        <v>6</v>
      </c>
      <c r="B584" t="s">
        <v>490</v>
      </c>
      <c r="D584" t="s">
        <v>524</v>
      </c>
      <c r="E584" t="s">
        <v>333</v>
      </c>
      <c r="F584" t="s">
        <v>10</v>
      </c>
      <c r="G584" t="s">
        <v>11</v>
      </c>
      <c r="H584" s="1" t="str">
        <f>HYPERLINK("http://apps.fcc.gov/ecfs/document/view?id=7520943162","  (1 page)")</f>
        <v>  (1 page)</v>
      </c>
    </row>
    <row r="585" spans="1:8" ht="12.75">
      <c r="A585" t="s">
        <v>6</v>
      </c>
      <c r="B585" t="s">
        <v>550</v>
      </c>
      <c r="D585" t="s">
        <v>524</v>
      </c>
      <c r="E585" t="s">
        <v>333</v>
      </c>
      <c r="F585" t="s">
        <v>10</v>
      </c>
      <c r="G585" t="s">
        <v>11</v>
      </c>
      <c r="H585" s="1" t="str">
        <f>HYPERLINK("http://apps.fcc.gov/ecfs/document/view?id=7520943159"," (1 page)")</f>
        <v> (1 page)</v>
      </c>
    </row>
    <row r="586" spans="1:8" ht="12.75">
      <c r="A586" t="s">
        <v>6</v>
      </c>
      <c r="B586" t="s">
        <v>551</v>
      </c>
      <c r="D586" t="s">
        <v>333</v>
      </c>
      <c r="E586" t="s">
        <v>333</v>
      </c>
      <c r="F586" t="s">
        <v>10</v>
      </c>
      <c r="G586" t="s">
        <v>11</v>
      </c>
      <c r="H586" s="1" t="str">
        <f>HYPERLINK("http://apps.fcc.gov/ecfs/document/view?id=7520943226"," (1 page)")</f>
        <v> (1 page)</v>
      </c>
    </row>
    <row r="587" spans="1:8" ht="12.75">
      <c r="A587" t="s">
        <v>6</v>
      </c>
      <c r="B587" t="s">
        <v>552</v>
      </c>
      <c r="D587" t="s">
        <v>553</v>
      </c>
      <c r="E587" t="s">
        <v>333</v>
      </c>
      <c r="F587" t="s">
        <v>10</v>
      </c>
      <c r="G587" t="s">
        <v>180</v>
      </c>
      <c r="H587" s="1" t="str">
        <f>HYPERLINK("http://apps.fcc.gov/ecfs/document/view?id=7520943235","  (1 page)")</f>
        <v>  (1 page)</v>
      </c>
    </row>
    <row r="588" spans="1:8" ht="12.75">
      <c r="A588" t="s">
        <v>6</v>
      </c>
      <c r="B588" t="s">
        <v>554</v>
      </c>
      <c r="D588" t="s">
        <v>524</v>
      </c>
      <c r="E588" t="s">
        <v>524</v>
      </c>
      <c r="F588" t="s">
        <v>10</v>
      </c>
      <c r="G588" t="s">
        <v>11</v>
      </c>
      <c r="H588" s="1" t="str">
        <f>HYPERLINK("http://apps.fcc.gov/ecfs/document/view?id=7520943038","Marengo County School District Comment on E Rate NPRM (1 page)")</f>
        <v>Marengo County School District Comment on E Rate NPRM (1 page)</v>
      </c>
    </row>
    <row r="589" spans="1:8" ht="12.75">
      <c r="A589" t="s">
        <v>6</v>
      </c>
      <c r="B589" t="s">
        <v>555</v>
      </c>
      <c r="D589" t="s">
        <v>524</v>
      </c>
      <c r="E589" t="s">
        <v>524</v>
      </c>
      <c r="F589" t="s">
        <v>10</v>
      </c>
      <c r="G589" t="s">
        <v>11</v>
      </c>
      <c r="H589" s="1" t="str">
        <f>HYPERLINK("http://apps.fcc.gov/ecfs/document/view?id=7520943049","  (1 page)")</f>
        <v>  (1 page)</v>
      </c>
    </row>
    <row r="590" spans="1:8" ht="12.75">
      <c r="A590" t="s">
        <v>6</v>
      </c>
      <c r="B590" t="s">
        <v>556</v>
      </c>
      <c r="C590" t="s">
        <v>557</v>
      </c>
      <c r="D590" t="s">
        <v>524</v>
      </c>
      <c r="E590" t="s">
        <v>524</v>
      </c>
      <c r="F590" t="s">
        <v>10</v>
      </c>
      <c r="G590" t="s">
        <v>11</v>
      </c>
      <c r="H590" s="1" t="str">
        <f>HYPERLINK("http://apps.fcc.gov/ecfs/document/view?id=7520943048","St Ignatius School Comment on E Rate NPRM (1 page)")</f>
        <v>St Ignatius School Comment on E Rate NPRM (1 page)</v>
      </c>
    </row>
    <row r="591" spans="1:8" ht="12.75">
      <c r="A591" t="s">
        <v>6</v>
      </c>
      <c r="B591" t="s">
        <v>558</v>
      </c>
      <c r="D591" t="s">
        <v>524</v>
      </c>
      <c r="E591" t="s">
        <v>524</v>
      </c>
      <c r="F591" t="s">
        <v>10</v>
      </c>
      <c r="G591" t="s">
        <v>11</v>
      </c>
      <c r="H591" s="1" t="str">
        <f>HYPERLINK("http://apps.fcc.gov/ecfs/document/view?id=7520943054","  (5 pages)")</f>
        <v>  (5 pages)</v>
      </c>
    </row>
    <row r="592" spans="1:8" ht="12.75">
      <c r="A592" t="s">
        <v>6</v>
      </c>
      <c r="B592" t="s">
        <v>559</v>
      </c>
      <c r="D592" t="s">
        <v>524</v>
      </c>
      <c r="E592" t="s">
        <v>524</v>
      </c>
      <c r="F592" t="s">
        <v>10</v>
      </c>
      <c r="G592" t="s">
        <v>11</v>
      </c>
      <c r="H592" s="1" t="str">
        <f>HYPERLINK("http://apps.fcc.gov/ecfs/document/view?id=7520943060","  (1 page)")</f>
        <v>  (1 page)</v>
      </c>
    </row>
    <row r="593" spans="1:8" ht="12.75">
      <c r="A593" t="s">
        <v>6</v>
      </c>
      <c r="B593" t="s">
        <v>49</v>
      </c>
      <c r="D593" t="s">
        <v>524</v>
      </c>
      <c r="E593" t="s">
        <v>524</v>
      </c>
      <c r="F593" t="s">
        <v>10</v>
      </c>
      <c r="G593" t="s">
        <v>11</v>
      </c>
      <c r="H593" s="1" t="str">
        <f>HYPERLINK("http://apps.fcc.gov/ecfs/document/view?id=7520943120","  (1 page)")</f>
        <v>  (1 page)</v>
      </c>
    </row>
    <row r="594" spans="1:8" ht="12.75">
      <c r="A594" t="s">
        <v>6</v>
      </c>
      <c r="B594" t="s">
        <v>560</v>
      </c>
      <c r="D594" t="s">
        <v>524</v>
      </c>
      <c r="E594" t="s">
        <v>524</v>
      </c>
      <c r="F594" t="s">
        <v>10</v>
      </c>
      <c r="G594" t="s">
        <v>11</v>
      </c>
      <c r="H594" s="1" t="str">
        <f>HYPERLINK("http://apps.fcc.gov/ecfs/document/view?id=7520943088"," (1 page)")</f>
        <v> (1 page)</v>
      </c>
    </row>
    <row r="595" spans="1:8" ht="12.75">
      <c r="A595" t="s">
        <v>6</v>
      </c>
      <c r="B595" t="s">
        <v>561</v>
      </c>
      <c r="D595" t="s">
        <v>524</v>
      </c>
      <c r="E595" t="s">
        <v>524</v>
      </c>
      <c r="F595" t="s">
        <v>10</v>
      </c>
      <c r="G595" t="s">
        <v>11</v>
      </c>
      <c r="H595" s="1" t="str">
        <f>HYPERLINK("http://apps.fcc.gov/ecfs/document/view?id=7520943065","  (1 page)")</f>
        <v>  (1 page)</v>
      </c>
    </row>
    <row r="596" spans="1:8" ht="12.75">
      <c r="A596" t="s">
        <v>6</v>
      </c>
      <c r="B596" t="s">
        <v>562</v>
      </c>
      <c r="D596" t="s">
        <v>524</v>
      </c>
      <c r="E596" t="s">
        <v>524</v>
      </c>
      <c r="F596" t="s">
        <v>10</v>
      </c>
      <c r="G596" t="s">
        <v>11</v>
      </c>
      <c r="H596" s="1" t="str">
        <f>HYPERLINK("http://apps.fcc.gov/ecfs/document/view?id=7520943055","  (1 page)")</f>
        <v>  (1 page)</v>
      </c>
    </row>
    <row r="597" spans="1:8" ht="12.75">
      <c r="A597" t="s">
        <v>6</v>
      </c>
      <c r="B597" t="s">
        <v>563</v>
      </c>
      <c r="D597" t="s">
        <v>524</v>
      </c>
      <c r="E597" t="s">
        <v>524</v>
      </c>
      <c r="F597" t="s">
        <v>10</v>
      </c>
      <c r="G597" t="s">
        <v>11</v>
      </c>
      <c r="H597" s="1" t="str">
        <f>HYPERLINK("http://apps.fcc.gov/ecfs/document/view?id=7520943082","  (1 page)")</f>
        <v>  (1 page)</v>
      </c>
    </row>
    <row r="598" spans="1:8" ht="12.75">
      <c r="A598" t="s">
        <v>6</v>
      </c>
      <c r="B598" t="s">
        <v>564</v>
      </c>
      <c r="D598" t="s">
        <v>524</v>
      </c>
      <c r="E598" t="s">
        <v>524</v>
      </c>
      <c r="F598" t="s">
        <v>10</v>
      </c>
      <c r="G598" t="s">
        <v>11</v>
      </c>
      <c r="H598" s="1" t="str">
        <f>HYPERLINK("http://apps.fcc.gov/ecfs/document/view?id=7520943100","  (2 pages)")</f>
        <v>  (2 pages)</v>
      </c>
    </row>
    <row r="599" spans="1:8" ht="12.75">
      <c r="A599" t="s">
        <v>6</v>
      </c>
      <c r="B599" t="s">
        <v>565</v>
      </c>
      <c r="D599" t="s">
        <v>524</v>
      </c>
      <c r="E599" t="s">
        <v>524</v>
      </c>
      <c r="F599" t="s">
        <v>10</v>
      </c>
      <c r="G599" t="s">
        <v>11</v>
      </c>
      <c r="H599" s="1" t="str">
        <f>HYPERLINK("http://apps.fcc.gov/ecfs/document/view?id=7520943076","  (1 page)")</f>
        <v>  (1 page)</v>
      </c>
    </row>
    <row r="600" spans="1:10" ht="12.75">
      <c r="A600" t="s">
        <v>6</v>
      </c>
      <c r="B600" t="s">
        <v>566</v>
      </c>
      <c r="D600" t="s">
        <v>524</v>
      </c>
      <c r="E600" t="s">
        <v>524</v>
      </c>
      <c r="F600" t="s">
        <v>10</v>
      </c>
      <c r="G600" t="s">
        <v>11</v>
      </c>
      <c r="H600" s="1" t="str">
        <f>HYPERLINK("http://apps.fcc.gov/ecfs/document/view?id=7520943062","  (1 page)")</f>
        <v>  (1 page)</v>
      </c>
      <c r="I600" s="1" t="str">
        <f>HYPERLINK("http://apps.fcc.gov/ecfs/document/view?id=7520943063","  (1 page)")</f>
        <v>  (1 page)</v>
      </c>
      <c r="J600" s="1" t="str">
        <f>HYPERLINK("http://apps.fcc.gov/ecfs/document/view?id=7520943064","  (1 page)")</f>
        <v>  (1 page)</v>
      </c>
    </row>
    <row r="601" spans="1:8" ht="12.75">
      <c r="A601" t="s">
        <v>6</v>
      </c>
      <c r="B601" t="s">
        <v>567</v>
      </c>
      <c r="D601" t="s">
        <v>524</v>
      </c>
      <c r="E601" t="s">
        <v>524</v>
      </c>
      <c r="F601" t="s">
        <v>10</v>
      </c>
      <c r="G601" t="s">
        <v>11</v>
      </c>
      <c r="H601" s="1" t="str">
        <f>HYPERLINK("http://apps.fcc.gov/ecfs/document/view?id=7520943068","  (1 page)")</f>
        <v>  (1 page)</v>
      </c>
    </row>
    <row r="602" spans="1:8" ht="12.75">
      <c r="A602" t="s">
        <v>6</v>
      </c>
      <c r="B602" t="s">
        <v>568</v>
      </c>
      <c r="D602" t="s">
        <v>524</v>
      </c>
      <c r="E602" t="s">
        <v>524</v>
      </c>
      <c r="F602" t="s">
        <v>10</v>
      </c>
      <c r="G602" t="s">
        <v>11</v>
      </c>
      <c r="H602" s="1" t="str">
        <f>HYPERLINK("http://apps.fcc.gov/ecfs/document/view?id=7520943037","  (7 pages)")</f>
        <v>  (7 pages)</v>
      </c>
    </row>
    <row r="603" spans="1:8" ht="12.75">
      <c r="A603" t="s">
        <v>6</v>
      </c>
      <c r="B603" t="s">
        <v>569</v>
      </c>
      <c r="D603" t="s">
        <v>524</v>
      </c>
      <c r="E603" t="s">
        <v>524</v>
      </c>
      <c r="F603" t="s">
        <v>10</v>
      </c>
      <c r="G603" t="s">
        <v>11</v>
      </c>
      <c r="H603" s="1" t="str">
        <f>HYPERLINK("http://apps.fcc.gov/ecfs/document/view?id=7520943075"," (1 page)")</f>
        <v> (1 page)</v>
      </c>
    </row>
    <row r="604" spans="1:8" ht="12.75">
      <c r="A604" t="s">
        <v>6</v>
      </c>
      <c r="B604" t="s">
        <v>570</v>
      </c>
      <c r="D604" t="s">
        <v>524</v>
      </c>
      <c r="E604" t="s">
        <v>524</v>
      </c>
      <c r="F604" t="s">
        <v>10</v>
      </c>
      <c r="G604" t="s">
        <v>11</v>
      </c>
      <c r="H604" s="1" t="str">
        <f>HYPERLINK("http://apps.fcc.gov/ecfs/document/view?id=7520943070"," (1 page)")</f>
        <v> (1 page)</v>
      </c>
    </row>
    <row r="605" spans="1:8" ht="12.75">
      <c r="A605" t="s">
        <v>6</v>
      </c>
      <c r="B605" t="s">
        <v>571</v>
      </c>
      <c r="D605" t="s">
        <v>524</v>
      </c>
      <c r="E605" t="s">
        <v>524</v>
      </c>
      <c r="F605" t="s">
        <v>10</v>
      </c>
      <c r="G605" t="s">
        <v>11</v>
      </c>
      <c r="H605" s="1" t="str">
        <f>HYPERLINK("http://apps.fcc.gov/ecfs/document/view?id=7520943067","  (1 page)")</f>
        <v>  (1 page)</v>
      </c>
    </row>
    <row r="606" spans="1:8" ht="12.75">
      <c r="A606" t="s">
        <v>6</v>
      </c>
      <c r="B606" t="s">
        <v>572</v>
      </c>
      <c r="D606" t="s">
        <v>524</v>
      </c>
      <c r="E606" t="s">
        <v>524</v>
      </c>
      <c r="F606" t="s">
        <v>10</v>
      </c>
      <c r="G606" t="s">
        <v>11</v>
      </c>
      <c r="H606" s="1" t="str">
        <f>HYPERLINK("http://apps.fcc.gov/ecfs/document/view?id=7520943039","  (1 page)")</f>
        <v>  (1 page)</v>
      </c>
    </row>
    <row r="607" spans="1:8" ht="12.75">
      <c r="A607" t="s">
        <v>6</v>
      </c>
      <c r="B607" t="s">
        <v>573</v>
      </c>
      <c r="D607" t="s">
        <v>524</v>
      </c>
      <c r="E607" t="s">
        <v>524</v>
      </c>
      <c r="F607" t="s">
        <v>10</v>
      </c>
      <c r="G607" t="s">
        <v>11</v>
      </c>
      <c r="H607" s="1" t="str">
        <f>HYPERLINK("http://apps.fcc.gov/ecfs/document/view?id=7520943053","  (1 page)")</f>
        <v>  (1 page)</v>
      </c>
    </row>
    <row r="608" spans="1:8" ht="12.75">
      <c r="A608" t="s">
        <v>6</v>
      </c>
      <c r="B608" t="s">
        <v>574</v>
      </c>
      <c r="D608" t="s">
        <v>524</v>
      </c>
      <c r="E608" t="s">
        <v>524</v>
      </c>
      <c r="F608" t="s">
        <v>10</v>
      </c>
      <c r="G608" t="s">
        <v>11</v>
      </c>
      <c r="H608" s="1" t="str">
        <f>HYPERLINK("http://apps.fcc.gov/ecfs/document/view?id=7520943073"," (1 page)")</f>
        <v> (1 page)</v>
      </c>
    </row>
    <row r="609" spans="1:8" ht="12.75">
      <c r="A609" t="s">
        <v>6</v>
      </c>
      <c r="B609" t="s">
        <v>575</v>
      </c>
      <c r="D609" t="s">
        <v>524</v>
      </c>
      <c r="E609" t="s">
        <v>524</v>
      </c>
      <c r="F609" t="s">
        <v>10</v>
      </c>
      <c r="G609" t="s">
        <v>11</v>
      </c>
      <c r="H609" s="1" t="str">
        <f>HYPERLINK("http://apps.fcc.gov/ecfs/document/view?id=7520943079","  (1 page)")</f>
        <v>  (1 page)</v>
      </c>
    </row>
    <row r="610" spans="1:8" ht="12.75">
      <c r="A610" t="s">
        <v>6</v>
      </c>
      <c r="B610" t="s">
        <v>576</v>
      </c>
      <c r="D610" t="s">
        <v>524</v>
      </c>
      <c r="E610" t="s">
        <v>524</v>
      </c>
      <c r="F610" t="s">
        <v>10</v>
      </c>
      <c r="G610" t="s">
        <v>11</v>
      </c>
      <c r="H610" s="1" t="str">
        <f>HYPERLINK("http://apps.fcc.gov/ecfs/document/view?id=7520943046","  (1 page)")</f>
        <v>  (1 page)</v>
      </c>
    </row>
    <row r="611" spans="1:9" ht="12.75">
      <c r="A611" t="s">
        <v>6</v>
      </c>
      <c r="B611" t="s">
        <v>577</v>
      </c>
      <c r="D611" t="s">
        <v>524</v>
      </c>
      <c r="E611" t="s">
        <v>524</v>
      </c>
      <c r="F611" t="s">
        <v>10</v>
      </c>
      <c r="G611" t="s">
        <v>11</v>
      </c>
      <c r="H611" s="1" t="str">
        <f>HYPERLINK("http://apps.fcc.gov/ecfs/document/view?id=7520943089","  (1 page)")</f>
        <v>  (1 page)</v>
      </c>
      <c r="I611" s="1" t="str">
        <f>HYPERLINK("http://apps.fcc.gov/ecfs/document/view?id=7520943090","  (1 page)")</f>
        <v>  (1 page)</v>
      </c>
    </row>
    <row r="612" spans="1:8" ht="12.75">
      <c r="A612" t="s">
        <v>6</v>
      </c>
      <c r="B612" t="s">
        <v>578</v>
      </c>
      <c r="D612" t="s">
        <v>524</v>
      </c>
      <c r="E612" t="s">
        <v>524</v>
      </c>
      <c r="F612" t="s">
        <v>10</v>
      </c>
      <c r="G612" t="s">
        <v>11</v>
      </c>
      <c r="H612" s="1" t="str">
        <f>HYPERLINK("http://apps.fcc.gov/ecfs/document/view?id=7520943050","  (1 page)")</f>
        <v>  (1 page)</v>
      </c>
    </row>
    <row r="613" spans="1:8" ht="12.75">
      <c r="A613" t="s">
        <v>6</v>
      </c>
      <c r="B613" t="s">
        <v>579</v>
      </c>
      <c r="D613" t="s">
        <v>524</v>
      </c>
      <c r="E613" t="s">
        <v>524</v>
      </c>
      <c r="F613" t="s">
        <v>10</v>
      </c>
      <c r="G613" t="s">
        <v>11</v>
      </c>
      <c r="H613" s="1" t="str">
        <f>HYPERLINK("http://apps.fcc.gov/ecfs/document/view?id=7520943087","  (1 page)")</f>
        <v>  (1 page)</v>
      </c>
    </row>
    <row r="614" spans="1:8" ht="12.75">
      <c r="A614" t="s">
        <v>6</v>
      </c>
      <c r="B614" t="s">
        <v>580</v>
      </c>
      <c r="D614" t="s">
        <v>524</v>
      </c>
      <c r="E614" t="s">
        <v>524</v>
      </c>
      <c r="F614" t="s">
        <v>10</v>
      </c>
      <c r="G614" t="s">
        <v>11</v>
      </c>
      <c r="H614" s="1" t="str">
        <f>HYPERLINK("http://apps.fcc.gov/ecfs/document/view?id=7520943101","Clay County School System comment on E Rate NPRM (1 page)")</f>
        <v>Clay County School System comment on E Rate NPRM (1 page)</v>
      </c>
    </row>
    <row r="615" spans="1:8" ht="12.75">
      <c r="A615" t="s">
        <v>6</v>
      </c>
      <c r="B615" t="s">
        <v>581</v>
      </c>
      <c r="D615" t="s">
        <v>524</v>
      </c>
      <c r="E615" t="s">
        <v>524</v>
      </c>
      <c r="F615" t="s">
        <v>10</v>
      </c>
      <c r="G615" t="s">
        <v>11</v>
      </c>
      <c r="H615" s="1" t="str">
        <f>HYPERLINK("http://apps.fcc.gov/ecfs/document/view?id=7520943074"," (1 page)")</f>
        <v> (1 page)</v>
      </c>
    </row>
    <row r="616" spans="1:8" ht="12.75">
      <c r="A616" t="s">
        <v>6</v>
      </c>
      <c r="B616" t="s">
        <v>582</v>
      </c>
      <c r="D616" t="s">
        <v>524</v>
      </c>
      <c r="E616" t="s">
        <v>524</v>
      </c>
      <c r="F616" t="s">
        <v>10</v>
      </c>
      <c r="G616" t="s">
        <v>11</v>
      </c>
      <c r="H616" s="1" t="str">
        <f>HYPERLINK("http://apps.fcc.gov/ecfs/document/view?id=7520943061","  (1 page)")</f>
        <v>  (1 page)</v>
      </c>
    </row>
    <row r="617" spans="1:8" ht="12.75">
      <c r="A617" t="s">
        <v>6</v>
      </c>
      <c r="B617" t="s">
        <v>583</v>
      </c>
      <c r="D617" t="s">
        <v>524</v>
      </c>
      <c r="E617" t="s">
        <v>524</v>
      </c>
      <c r="F617" t="s">
        <v>10</v>
      </c>
      <c r="G617" t="s">
        <v>11</v>
      </c>
      <c r="H617" s="1" t="str">
        <f>HYPERLINK("http://apps.fcc.gov/ecfs/document/view?id=7520943040","  (1 page)")</f>
        <v>  (1 page)</v>
      </c>
    </row>
    <row r="618" spans="1:8" ht="12.75">
      <c r="A618" t="s">
        <v>6</v>
      </c>
      <c r="B618" t="s">
        <v>584</v>
      </c>
      <c r="D618" t="s">
        <v>524</v>
      </c>
      <c r="E618" t="s">
        <v>524</v>
      </c>
      <c r="F618" t="s">
        <v>10</v>
      </c>
      <c r="G618" t="s">
        <v>11</v>
      </c>
      <c r="H618" s="1" t="str">
        <f>HYPERLINK("http://apps.fcc.gov/ecfs/document/view?id=7520943072","  (1 page)")</f>
        <v>  (1 page)</v>
      </c>
    </row>
    <row r="619" spans="1:8" ht="12.75">
      <c r="A619" t="s">
        <v>6</v>
      </c>
      <c r="B619" t="s">
        <v>585</v>
      </c>
      <c r="D619" t="s">
        <v>524</v>
      </c>
      <c r="E619" t="s">
        <v>524</v>
      </c>
      <c r="F619" t="s">
        <v>10</v>
      </c>
      <c r="G619" t="s">
        <v>11</v>
      </c>
      <c r="H619" s="1" t="str">
        <f>HYPERLINK("http://apps.fcc.gov/ecfs/document/view?id=7520943080","  (1 page)")</f>
        <v>  (1 page)</v>
      </c>
    </row>
    <row r="620" spans="1:8" ht="12.75">
      <c r="A620" t="s">
        <v>6</v>
      </c>
      <c r="B620" t="s">
        <v>586</v>
      </c>
      <c r="C620" t="s">
        <v>587</v>
      </c>
      <c r="D620" t="s">
        <v>524</v>
      </c>
      <c r="E620" t="s">
        <v>524</v>
      </c>
      <c r="F620" t="s">
        <v>10</v>
      </c>
      <c r="G620" t="s">
        <v>11</v>
      </c>
      <c r="H620" s="1" t="str">
        <f>HYPERLINK("http://apps.fcc.gov/ecfs/document/view?id=7520943020","Charter School Comments (2 pages)")</f>
        <v>Charter School Comments (2 pages)</v>
      </c>
    </row>
    <row r="621" spans="1:8" ht="12.75">
      <c r="A621" t="s">
        <v>6</v>
      </c>
      <c r="B621" t="s">
        <v>588</v>
      </c>
      <c r="D621" t="s">
        <v>524</v>
      </c>
      <c r="E621" t="s">
        <v>524</v>
      </c>
      <c r="F621" t="s">
        <v>10</v>
      </c>
      <c r="G621" t="s">
        <v>11</v>
      </c>
      <c r="H621" s="1" t="str">
        <f>HYPERLINK("http://apps.fcc.gov/ecfs/document/view?id=7520943033","  (2 pages)")</f>
        <v>  (2 pages)</v>
      </c>
    </row>
    <row r="622" spans="1:8" ht="12.75">
      <c r="A622" t="s">
        <v>6</v>
      </c>
      <c r="B622" t="s">
        <v>589</v>
      </c>
      <c r="D622" t="s">
        <v>524</v>
      </c>
      <c r="E622" t="s">
        <v>524</v>
      </c>
      <c r="F622" t="s">
        <v>10</v>
      </c>
      <c r="G622" t="s">
        <v>11</v>
      </c>
      <c r="H622" s="1" t="str">
        <f>HYPERLINK("http://apps.fcc.gov/ecfs/document/view?id=7520943026","  (1 page)")</f>
        <v>  (1 page)</v>
      </c>
    </row>
    <row r="623" spans="1:8" ht="12.75">
      <c r="A623" t="s">
        <v>6</v>
      </c>
      <c r="B623" t="s">
        <v>590</v>
      </c>
      <c r="D623" t="s">
        <v>524</v>
      </c>
      <c r="E623" t="s">
        <v>524</v>
      </c>
      <c r="F623" t="s">
        <v>10</v>
      </c>
      <c r="G623" t="s">
        <v>11</v>
      </c>
      <c r="H623" s="1" t="str">
        <f>HYPERLINK("http://apps.fcc.gov/ecfs/document/view?id=7520943019","  (3 pages)")</f>
        <v>  (3 pages)</v>
      </c>
    </row>
    <row r="624" spans="1:8" ht="12.75">
      <c r="A624" t="s">
        <v>6</v>
      </c>
      <c r="B624" t="s">
        <v>93</v>
      </c>
      <c r="D624" t="s">
        <v>524</v>
      </c>
      <c r="E624" t="s">
        <v>524</v>
      </c>
      <c r="F624" t="s">
        <v>10</v>
      </c>
      <c r="G624" t="s">
        <v>11</v>
      </c>
      <c r="H624" s="1" t="str">
        <f>HYPERLINK("http://apps.fcc.gov/ecfs/document/view?id=7520943023","FCC Comment from Monroe County (2 pages)")</f>
        <v>FCC Comment from Monroe County (2 pages)</v>
      </c>
    </row>
    <row r="625" spans="1:8" ht="12.75">
      <c r="A625" t="s">
        <v>6</v>
      </c>
      <c r="B625" t="s">
        <v>591</v>
      </c>
      <c r="D625" t="s">
        <v>524</v>
      </c>
      <c r="E625" t="s">
        <v>524</v>
      </c>
      <c r="F625" t="s">
        <v>10</v>
      </c>
      <c r="G625" t="s">
        <v>11</v>
      </c>
      <c r="H625" s="1" t="str">
        <f>HYPERLINK("http://apps.fcc.gov/ecfs/document/view?id=7520943018","District Comment on E Rate NPRM (1 page)")</f>
        <v>District Comment on E Rate NPRM (1 page)</v>
      </c>
    </row>
    <row r="626" spans="1:8" ht="12.75">
      <c r="A626" t="s">
        <v>6</v>
      </c>
      <c r="B626" t="s">
        <v>592</v>
      </c>
      <c r="D626" t="s">
        <v>524</v>
      </c>
      <c r="E626" t="s">
        <v>524</v>
      </c>
      <c r="F626" t="s">
        <v>10</v>
      </c>
      <c r="G626" t="s">
        <v>11</v>
      </c>
      <c r="H626" s="1" t="str">
        <f>HYPERLINK("http://apps.fcc.gov/ecfs/document/view?id=7520943035","FCC Comment (1 page)")</f>
        <v>FCC Comment (1 page)</v>
      </c>
    </row>
    <row r="627" spans="1:8" ht="12.75">
      <c r="A627" t="s">
        <v>6</v>
      </c>
      <c r="B627" t="s">
        <v>593</v>
      </c>
      <c r="C627" t="s">
        <v>594</v>
      </c>
      <c r="D627" t="s">
        <v>524</v>
      </c>
      <c r="E627" t="s">
        <v>524</v>
      </c>
      <c r="F627" t="s">
        <v>10</v>
      </c>
      <c r="G627" t="s">
        <v>11</v>
      </c>
      <c r="H627" s="1" t="str">
        <f>HYPERLINK("http://apps.fcc.gov/ecfs/document/view?id=7520943021","District School Comment on E Rate NPRM  (1 page)")</f>
        <v>District School Comment on E Rate NPRM  (1 page)</v>
      </c>
    </row>
    <row r="628" spans="1:8" ht="12.75">
      <c r="A628" t="s">
        <v>6</v>
      </c>
      <c r="B628" t="s">
        <v>595</v>
      </c>
      <c r="D628" t="s">
        <v>524</v>
      </c>
      <c r="E628" t="s">
        <v>524</v>
      </c>
      <c r="F628" t="s">
        <v>10</v>
      </c>
      <c r="G628" t="s">
        <v>11</v>
      </c>
      <c r="H628" s="1" t="str">
        <f>HYPERLINK("http://apps.fcc.gov/ecfs/document/view?id=7520943022","St John the Evangelist Regional School Comment on E Rate NPRM (2 pages)")</f>
        <v>St John the Evangelist Regional School Comment on E Rate NPRM (2 pages)</v>
      </c>
    </row>
    <row r="629" spans="1:8" ht="12.75">
      <c r="A629" t="s">
        <v>6</v>
      </c>
      <c r="B629" t="s">
        <v>596</v>
      </c>
      <c r="D629" t="s">
        <v>524</v>
      </c>
      <c r="E629" t="s">
        <v>524</v>
      </c>
      <c r="F629" t="s">
        <v>10</v>
      </c>
      <c r="G629" t="s">
        <v>11</v>
      </c>
      <c r="H629" s="1" t="str">
        <f>HYPERLINK("http://apps.fcc.gov/ecfs/document/view?id=7520943029","Comment (1 page)")</f>
        <v>Comment (1 page)</v>
      </c>
    </row>
    <row r="630" spans="1:8" ht="12.75">
      <c r="A630" t="s">
        <v>6</v>
      </c>
      <c r="B630" t="s">
        <v>597</v>
      </c>
      <c r="D630" t="s">
        <v>598</v>
      </c>
      <c r="E630" t="s">
        <v>524</v>
      </c>
      <c r="F630" t="s">
        <v>10</v>
      </c>
      <c r="G630" t="s">
        <v>11</v>
      </c>
      <c r="H630" s="1" t="str">
        <f>HYPERLINK("http://apps.fcc.gov/ecfs/document/view?id=7520942955","  (2 pages)")</f>
        <v>  (2 pages)</v>
      </c>
    </row>
    <row r="631" spans="1:8" ht="12.75">
      <c r="A631" t="s">
        <v>6</v>
      </c>
      <c r="B631" t="s">
        <v>599</v>
      </c>
      <c r="D631" t="s">
        <v>598</v>
      </c>
      <c r="E631" t="s">
        <v>524</v>
      </c>
      <c r="F631" t="s">
        <v>10</v>
      </c>
      <c r="G631" t="s">
        <v>11</v>
      </c>
      <c r="H631" s="1" t="str">
        <f>HYPERLINK("http://apps.fcc.gov/ecfs/document/view?id=7520942960","  (1 page)")</f>
        <v>  (1 page)</v>
      </c>
    </row>
    <row r="632" spans="1:8" ht="12.75">
      <c r="A632" t="s">
        <v>6</v>
      </c>
      <c r="B632" t="s">
        <v>600</v>
      </c>
      <c r="C632" t="s">
        <v>601</v>
      </c>
      <c r="D632" t="s">
        <v>598</v>
      </c>
      <c r="E632" t="s">
        <v>524</v>
      </c>
      <c r="F632" t="s">
        <v>10</v>
      </c>
      <c r="G632" t="s">
        <v>11</v>
      </c>
      <c r="H632" s="1" t="str">
        <f>HYPERLINK("http://apps.fcc.gov/ecfs/document/view?id=7520943005","Rockdale ISD Comment on E Rate NPRM (1 page)")</f>
        <v>Rockdale ISD Comment on E Rate NPRM (1 page)</v>
      </c>
    </row>
    <row r="633" spans="1:8" ht="12.75">
      <c r="A633" t="s">
        <v>6</v>
      </c>
      <c r="B633" t="s">
        <v>602</v>
      </c>
      <c r="D633" t="s">
        <v>524</v>
      </c>
      <c r="E633" t="s">
        <v>524</v>
      </c>
      <c r="F633" t="s">
        <v>10</v>
      </c>
      <c r="G633" t="s">
        <v>11</v>
      </c>
      <c r="H633" s="1" t="str">
        <f>HYPERLINK("http://apps.fcc.gov/ecfs/document/view?id=7520943015","  (1 page)")</f>
        <v>  (1 page)</v>
      </c>
    </row>
    <row r="634" spans="1:8" ht="12.75">
      <c r="A634" t="s">
        <v>6</v>
      </c>
      <c r="B634" t="s">
        <v>603</v>
      </c>
      <c r="D634" t="s">
        <v>598</v>
      </c>
      <c r="E634" t="s">
        <v>524</v>
      </c>
      <c r="F634" t="s">
        <v>10</v>
      </c>
      <c r="G634" t="s">
        <v>11</v>
      </c>
      <c r="H634" s="1" t="str">
        <f>HYPERLINK("http://apps.fcc.gov/ecfs/document/view?id=7520942923","Brillant Erate Letter (1 page)")</f>
        <v>Brillant Erate Letter (1 page)</v>
      </c>
    </row>
    <row r="635" spans="1:8" ht="12.75">
      <c r="A635" t="s">
        <v>6</v>
      </c>
      <c r="B635" t="s">
        <v>604</v>
      </c>
      <c r="D635" t="s">
        <v>598</v>
      </c>
      <c r="E635" t="s">
        <v>524</v>
      </c>
      <c r="F635" t="s">
        <v>10</v>
      </c>
      <c r="G635" t="s">
        <v>11</v>
      </c>
      <c r="H635" s="1" t="str">
        <f>HYPERLINK("http://apps.fcc.gov/ecfs/document/view?id=7520942999","  (1 page)")</f>
        <v>  (1 page)</v>
      </c>
    </row>
    <row r="636" spans="1:8" ht="12.75">
      <c r="A636" t="s">
        <v>6</v>
      </c>
      <c r="B636" t="s">
        <v>605</v>
      </c>
      <c r="C636" t="s">
        <v>606</v>
      </c>
      <c r="D636" t="s">
        <v>524</v>
      </c>
      <c r="E636" t="s">
        <v>524</v>
      </c>
      <c r="F636" t="s">
        <v>10</v>
      </c>
      <c r="G636" t="s">
        <v>11</v>
      </c>
      <c r="H636" s="1" t="str">
        <f>HYPERLINK("http://apps.fcc.gov/ecfs/document/view?id=7520943014","  (1 page)")</f>
        <v>  (1 page)</v>
      </c>
    </row>
    <row r="637" spans="1:8" ht="12.75">
      <c r="A637" t="s">
        <v>6</v>
      </c>
      <c r="B637" t="s">
        <v>607</v>
      </c>
      <c r="C637" t="s">
        <v>608</v>
      </c>
      <c r="D637" t="s">
        <v>598</v>
      </c>
      <c r="E637" t="s">
        <v>524</v>
      </c>
      <c r="F637" t="s">
        <v>10</v>
      </c>
      <c r="G637" t="s">
        <v>11</v>
      </c>
      <c r="H637" s="1" t="str">
        <f>HYPERLINK("http://apps.fcc.gov/ecfs/document/view?id=7520943001","  (1 page)")</f>
        <v>  (1 page)</v>
      </c>
    </row>
    <row r="638" spans="1:8" ht="12.75">
      <c r="A638" t="s">
        <v>6</v>
      </c>
      <c r="B638" t="s">
        <v>609</v>
      </c>
      <c r="D638" t="s">
        <v>598</v>
      </c>
      <c r="E638" t="s">
        <v>524</v>
      </c>
      <c r="F638" t="s">
        <v>10</v>
      </c>
      <c r="G638" t="s">
        <v>11</v>
      </c>
      <c r="H638" s="1" t="str">
        <f>HYPERLINK("http://apps.fcc.gov/ecfs/document/view?id=7520942959"," (1 page)")</f>
        <v> (1 page)</v>
      </c>
    </row>
    <row r="639" spans="1:8" ht="12.75">
      <c r="A639" t="s">
        <v>6</v>
      </c>
      <c r="B639" t="s">
        <v>610</v>
      </c>
      <c r="D639" t="s">
        <v>598</v>
      </c>
      <c r="E639" t="s">
        <v>524</v>
      </c>
      <c r="F639" t="s">
        <v>10</v>
      </c>
      <c r="G639" t="s">
        <v>11</v>
      </c>
      <c r="H639" s="1" t="str">
        <f>HYPERLINK("http://apps.fcc.gov/ecfs/document/view?id=7520942977","M DCPS NPRM 13 184 RESPONSE 9 11 13 (17 pages)")</f>
        <v>M DCPS NPRM 13 184 RESPONSE 9 11 13 (17 pages)</v>
      </c>
    </row>
    <row r="640" spans="1:8" ht="12.75">
      <c r="A640" t="s">
        <v>6</v>
      </c>
      <c r="B640" t="s">
        <v>611</v>
      </c>
      <c r="D640" t="s">
        <v>598</v>
      </c>
      <c r="E640" t="s">
        <v>524</v>
      </c>
      <c r="F640" t="s">
        <v>10</v>
      </c>
      <c r="G640" t="s">
        <v>11</v>
      </c>
      <c r="H640" s="1" t="str">
        <f>HYPERLINK("http://apps.fcc.gov/ecfs/document/view?id=7520942997"," (1 page)")</f>
        <v> (1 page)</v>
      </c>
    </row>
    <row r="641" spans="1:8" ht="12.75">
      <c r="A641" t="s">
        <v>6</v>
      </c>
      <c r="B641" t="s">
        <v>612</v>
      </c>
      <c r="D641" t="s">
        <v>598</v>
      </c>
      <c r="E641" t="s">
        <v>524</v>
      </c>
      <c r="F641" t="s">
        <v>10</v>
      </c>
      <c r="G641" t="s">
        <v>11</v>
      </c>
      <c r="H641" s="1" t="str">
        <f>HYPERLINK("http://apps.fcc.gov/ecfs/document/view?id=7520942949","Madison City Schools Comment on E Rate NPRM (1 page)")</f>
        <v>Madison City Schools Comment on E Rate NPRM (1 page)</v>
      </c>
    </row>
    <row r="642" spans="1:8" ht="12.75">
      <c r="A642" t="s">
        <v>6</v>
      </c>
      <c r="B642" t="s">
        <v>613</v>
      </c>
      <c r="D642" t="s">
        <v>598</v>
      </c>
      <c r="E642" t="s">
        <v>524</v>
      </c>
      <c r="F642" t="s">
        <v>10</v>
      </c>
      <c r="G642" t="s">
        <v>11</v>
      </c>
      <c r="H642" s="1" t="str">
        <f>HYPERLINK("http://apps.fcc.gov/ecfs/document/view?id=7520942983","  (1 page)")</f>
        <v>  (1 page)</v>
      </c>
    </row>
    <row r="643" spans="1:9" ht="12.75">
      <c r="A643" t="s">
        <v>6</v>
      </c>
      <c r="B643" t="s">
        <v>614</v>
      </c>
      <c r="D643" t="s">
        <v>598</v>
      </c>
      <c r="E643" t="s">
        <v>524</v>
      </c>
      <c r="F643" t="s">
        <v>10</v>
      </c>
      <c r="G643" t="s">
        <v>11</v>
      </c>
      <c r="H643" s="1" t="str">
        <f>HYPERLINK("http://apps.fcc.gov/ecfs/document/view?id=7520942918","Sylvan Union School District Comment on E Rate NPRM (1 page)")</f>
        <v>Sylvan Union School District Comment on E Rate NPRM (1 page)</v>
      </c>
      <c r="I643" s="1" t="str">
        <f>HYPERLINK("http://apps.fcc.gov/ecfs/document/view?id=7520942919","Sylvan Union School District Comment on E Rate NPRM (1 page)")</f>
        <v>Sylvan Union School District Comment on E Rate NPRM (1 page)</v>
      </c>
    </row>
    <row r="644" spans="1:8" ht="12.75">
      <c r="A644" t="s">
        <v>6</v>
      </c>
      <c r="B644" t="s">
        <v>153</v>
      </c>
      <c r="D644" t="s">
        <v>598</v>
      </c>
      <c r="E644" t="s">
        <v>524</v>
      </c>
      <c r="F644" t="s">
        <v>10</v>
      </c>
      <c r="G644" t="s">
        <v>11</v>
      </c>
      <c r="H644" s="1" t="str">
        <f>HYPERLINK("http://apps.fcc.gov/ecfs/document/view?id=7520942984","As school district in Texas (1 page)")</f>
        <v>As school district in Texas (1 page)</v>
      </c>
    </row>
    <row r="645" spans="1:8" ht="12.75">
      <c r="A645" t="s">
        <v>6</v>
      </c>
      <c r="B645" t="s">
        <v>615</v>
      </c>
      <c r="D645" t="s">
        <v>598</v>
      </c>
      <c r="E645" t="s">
        <v>524</v>
      </c>
      <c r="F645" t="s">
        <v>10</v>
      </c>
      <c r="G645" t="s">
        <v>11</v>
      </c>
      <c r="H645" s="1" t="str">
        <f>HYPERLINK("http://apps.fcc.gov/ecfs/document/view?id=7520942932"," (1 page)")</f>
        <v> (1 page)</v>
      </c>
    </row>
    <row r="646" spans="1:8" ht="12.75">
      <c r="A646" t="s">
        <v>6</v>
      </c>
      <c r="B646" t="s">
        <v>616</v>
      </c>
      <c r="D646" t="s">
        <v>598</v>
      </c>
      <c r="E646" t="s">
        <v>524</v>
      </c>
      <c r="F646" t="s">
        <v>10</v>
      </c>
      <c r="G646" t="s">
        <v>11</v>
      </c>
      <c r="H646" s="1" t="str">
        <f>HYPERLINK("http://apps.fcc.gov/ecfs/document/view?id=7520942996"," (1 page)")</f>
        <v> (1 page)</v>
      </c>
    </row>
    <row r="647" spans="1:8" ht="12.75">
      <c r="A647" t="s">
        <v>6</v>
      </c>
      <c r="B647" t="s">
        <v>617</v>
      </c>
      <c r="D647" t="s">
        <v>598</v>
      </c>
      <c r="E647" t="s">
        <v>524</v>
      </c>
      <c r="F647" t="s">
        <v>10</v>
      </c>
      <c r="G647" t="s">
        <v>11</v>
      </c>
      <c r="H647" s="1" t="str">
        <f>HYPERLINK("http://apps.fcc.gov/ecfs/document/view?id=7520942990","Coeur d Alene School District Comments (1 page)")</f>
        <v>Coeur d Alene School District Comments (1 page)</v>
      </c>
    </row>
    <row r="648" spans="1:8" ht="12.75">
      <c r="A648" t="s">
        <v>6</v>
      </c>
      <c r="B648" t="s">
        <v>618</v>
      </c>
      <c r="D648" t="s">
        <v>598</v>
      </c>
      <c r="E648" t="s">
        <v>524</v>
      </c>
      <c r="F648" t="s">
        <v>10</v>
      </c>
      <c r="G648" t="s">
        <v>11</v>
      </c>
      <c r="H648" s="1" t="str">
        <f>HYPERLINK("http://apps.fcc.gov/ecfs/document/view?id=7520943000","E rate Comments (1 page)")</f>
        <v>E rate Comments (1 page)</v>
      </c>
    </row>
    <row r="649" spans="1:8" ht="12.75">
      <c r="A649" t="s">
        <v>6</v>
      </c>
      <c r="B649" t="s">
        <v>619</v>
      </c>
      <c r="D649" t="s">
        <v>598</v>
      </c>
      <c r="E649" t="s">
        <v>524</v>
      </c>
      <c r="F649" t="s">
        <v>10</v>
      </c>
      <c r="G649" t="s">
        <v>11</v>
      </c>
      <c r="H649" s="1" t="str">
        <f>HYPERLINK("http://apps.fcc.gov/ecfs/document/view?id=7520942962","Response to FCC NPRM (2 pages)")</f>
        <v>Response to FCC NPRM (2 pages)</v>
      </c>
    </row>
    <row r="650" spans="1:8" ht="12.75">
      <c r="A650" t="s">
        <v>6</v>
      </c>
      <c r="B650" t="s">
        <v>620</v>
      </c>
      <c r="D650" t="s">
        <v>598</v>
      </c>
      <c r="E650" t="s">
        <v>524</v>
      </c>
      <c r="F650" t="s">
        <v>10</v>
      </c>
      <c r="G650" t="s">
        <v>11</v>
      </c>
      <c r="H650" s="1" t="str">
        <f>HYPERLINK("http://apps.fcc.gov/ecfs/document/view?id=7520942937"," (1 page)")</f>
        <v> (1 page)</v>
      </c>
    </row>
    <row r="651" spans="1:8" ht="12.75">
      <c r="A651" t="s">
        <v>6</v>
      </c>
      <c r="B651" t="s">
        <v>621</v>
      </c>
      <c r="D651" t="s">
        <v>598</v>
      </c>
      <c r="E651" t="s">
        <v>524</v>
      </c>
      <c r="F651" t="s">
        <v>10</v>
      </c>
      <c r="G651" t="s">
        <v>11</v>
      </c>
      <c r="H651" s="1" t="str">
        <f>HYPERLINK("http://apps.fcc.gov/ecfs/document/view?id=7520942956","  (1 page)")</f>
        <v>  (1 page)</v>
      </c>
    </row>
    <row r="652" spans="1:8" ht="12.75">
      <c r="A652" t="s">
        <v>6</v>
      </c>
      <c r="B652" t="s">
        <v>622</v>
      </c>
      <c r="D652" t="s">
        <v>598</v>
      </c>
      <c r="E652" t="s">
        <v>524</v>
      </c>
      <c r="F652" t="s">
        <v>10</v>
      </c>
      <c r="G652" t="s">
        <v>11</v>
      </c>
      <c r="H652" s="1" t="str">
        <f>HYPERLINK("http://apps.fcc.gov/ecfs/document/view?id=7520942998","  (1 page)")</f>
        <v>  (1 page)</v>
      </c>
    </row>
    <row r="653" spans="1:8" ht="12.75">
      <c r="A653" t="s">
        <v>6</v>
      </c>
      <c r="B653" t="s">
        <v>623</v>
      </c>
      <c r="D653" t="s">
        <v>524</v>
      </c>
      <c r="E653" t="s">
        <v>524</v>
      </c>
      <c r="F653" t="s">
        <v>10</v>
      </c>
      <c r="G653" t="s">
        <v>11</v>
      </c>
      <c r="H653" s="1" t="str">
        <f>HYPERLINK("http://apps.fcc.gov/ecfs/document/view?id=7520943008","  (1 page)")</f>
        <v>  (1 page)</v>
      </c>
    </row>
    <row r="654" spans="1:8" ht="12.75">
      <c r="A654" t="s">
        <v>6</v>
      </c>
      <c r="B654" t="s">
        <v>624</v>
      </c>
      <c r="D654" t="s">
        <v>598</v>
      </c>
      <c r="E654" t="s">
        <v>524</v>
      </c>
      <c r="F654" t="s">
        <v>10</v>
      </c>
      <c r="G654" t="s">
        <v>11</v>
      </c>
      <c r="H654" s="1" t="str">
        <f>HYPERLINK("http://apps.fcc.gov/ecfs/document/view?id=7520942943","Clinton USD Comment on MPRM Changes to Email and Web Hosting (1 page)")</f>
        <v>Clinton USD Comment on MPRM Changes to Email and Web Hosting (1 page)</v>
      </c>
    </row>
    <row r="655" spans="1:8" ht="12.75">
      <c r="A655" t="s">
        <v>6</v>
      </c>
      <c r="B655" t="s">
        <v>625</v>
      </c>
      <c r="D655" t="s">
        <v>524</v>
      </c>
      <c r="E655" t="s">
        <v>524</v>
      </c>
      <c r="F655" t="s">
        <v>10</v>
      </c>
      <c r="G655" t="s">
        <v>11</v>
      </c>
      <c r="H655" s="1" t="str">
        <f>HYPERLINK("http://apps.fcc.gov/ecfs/document/view?id=7520943017","Comment on E Rate NPRM (1 page)")</f>
        <v>Comment on E Rate NPRM (1 page)</v>
      </c>
    </row>
    <row r="656" spans="1:8" ht="12.75">
      <c r="A656" t="s">
        <v>6</v>
      </c>
      <c r="B656" t="s">
        <v>626</v>
      </c>
      <c r="D656" t="s">
        <v>598</v>
      </c>
      <c r="E656" t="s">
        <v>524</v>
      </c>
      <c r="F656" t="s">
        <v>10</v>
      </c>
      <c r="G656" t="s">
        <v>11</v>
      </c>
      <c r="H656" s="1" t="str">
        <f>HYPERLINK("http://apps.fcc.gov/ecfs/document/view?id=7520942967","  (1 page)")</f>
        <v>  (1 page)</v>
      </c>
    </row>
    <row r="657" spans="1:8" ht="12.75">
      <c r="A657" t="s">
        <v>6</v>
      </c>
      <c r="B657" t="s">
        <v>627</v>
      </c>
      <c r="D657" t="s">
        <v>598</v>
      </c>
      <c r="E657" t="s">
        <v>524</v>
      </c>
      <c r="F657" t="s">
        <v>10</v>
      </c>
      <c r="G657" t="s">
        <v>11</v>
      </c>
      <c r="H657" s="1" t="str">
        <f>HYPERLINK("http://apps.fcc.gov/ecfs/document/view?id=7520942921"," (1 page)")</f>
        <v> (1 page)</v>
      </c>
    </row>
    <row r="658" spans="1:8" ht="12.75">
      <c r="A658" t="s">
        <v>6</v>
      </c>
      <c r="B658" t="s">
        <v>628</v>
      </c>
      <c r="D658" t="s">
        <v>598</v>
      </c>
      <c r="E658" t="s">
        <v>524</v>
      </c>
      <c r="F658" t="s">
        <v>10</v>
      </c>
      <c r="G658" t="s">
        <v>127</v>
      </c>
      <c r="H658" s="1" t="str">
        <f>HYPERLINK("http://apps.fcc.gov/ecfs/document/view?id=7520942917","  (3 pages)")</f>
        <v>  (3 pages)</v>
      </c>
    </row>
    <row r="659" spans="1:8" ht="12.75">
      <c r="A659" t="s">
        <v>6</v>
      </c>
      <c r="B659" t="s">
        <v>629</v>
      </c>
      <c r="C659" t="s">
        <v>630</v>
      </c>
      <c r="D659" t="s">
        <v>598</v>
      </c>
      <c r="E659" t="s">
        <v>524</v>
      </c>
      <c r="F659" t="s">
        <v>10</v>
      </c>
      <c r="G659" t="s">
        <v>11</v>
      </c>
      <c r="H659" s="1" t="str">
        <f>HYPERLINK("http://apps.fcc.gov/ecfs/document/view?id=7520942973","  (1 page)")</f>
        <v>  (1 page)</v>
      </c>
    </row>
    <row r="660" spans="1:8" ht="12.75">
      <c r="A660" t="s">
        <v>6</v>
      </c>
      <c r="B660" t="s">
        <v>631</v>
      </c>
      <c r="D660" t="s">
        <v>598</v>
      </c>
      <c r="E660" t="s">
        <v>598</v>
      </c>
      <c r="F660" t="s">
        <v>10</v>
      </c>
      <c r="G660" t="s">
        <v>11</v>
      </c>
      <c r="H660" s="1" t="str">
        <f>HYPERLINK("http://apps.fcc.gov/ecfs/document/view?id=7520942902","E rate funding (1 page)")</f>
        <v>E rate funding (1 page)</v>
      </c>
    </row>
    <row r="661" spans="1:8" ht="12.75">
      <c r="A661" t="s">
        <v>6</v>
      </c>
      <c r="B661" t="s">
        <v>632</v>
      </c>
      <c r="D661" t="s">
        <v>598</v>
      </c>
      <c r="E661" t="s">
        <v>598</v>
      </c>
      <c r="F661" t="s">
        <v>10</v>
      </c>
      <c r="G661" t="s">
        <v>11</v>
      </c>
      <c r="H661" s="1" t="str">
        <f>HYPERLINK("http://apps.fcc.gov/ecfs/document/view?id=7520942915","New Haven Unified School District Comment on E Rate NPRM (1 page)")</f>
        <v>New Haven Unified School District Comment on E Rate NPRM (1 page)</v>
      </c>
    </row>
    <row r="662" spans="1:8" ht="12.75">
      <c r="A662" t="s">
        <v>6</v>
      </c>
      <c r="B662" t="s">
        <v>633</v>
      </c>
      <c r="D662" t="s">
        <v>598</v>
      </c>
      <c r="E662" t="s">
        <v>598</v>
      </c>
      <c r="F662" t="s">
        <v>10</v>
      </c>
      <c r="G662" t="s">
        <v>11</v>
      </c>
      <c r="H662" s="1" t="str">
        <f>HYPERLINK("http://apps.fcc.gov/ecfs/document/view?id=7520942881","District Comment on E Rate NPRM (1 page)")</f>
        <v>District Comment on E Rate NPRM (1 page)</v>
      </c>
    </row>
    <row r="663" spans="1:8" ht="12.75">
      <c r="A663" t="s">
        <v>6</v>
      </c>
      <c r="B663" t="s">
        <v>634</v>
      </c>
      <c r="D663" t="s">
        <v>598</v>
      </c>
      <c r="E663" t="s">
        <v>598</v>
      </c>
      <c r="F663" t="s">
        <v>10</v>
      </c>
      <c r="G663" t="s">
        <v>11</v>
      </c>
      <c r="H663" s="1" t="str">
        <f>HYPERLINK("http://apps.fcc.gov/ecfs/document/view?id=7520942909","Haines Borough School District ERate NPRM Comments (2 pages)")</f>
        <v>Haines Borough School District ERate NPRM Comments (2 pages)</v>
      </c>
    </row>
    <row r="664" spans="1:8" ht="12.75">
      <c r="A664" t="s">
        <v>6</v>
      </c>
      <c r="B664" t="s">
        <v>635</v>
      </c>
      <c r="D664" t="s">
        <v>598</v>
      </c>
      <c r="E664" t="s">
        <v>598</v>
      </c>
      <c r="F664" t="s">
        <v>10</v>
      </c>
      <c r="G664" t="s">
        <v>11</v>
      </c>
      <c r="H664" s="1" t="str">
        <f>HYPERLINK("http://apps.fcc.gov/ecfs/document/view?id=7520942891","Comment (1 page)")</f>
        <v>Comment (1 page)</v>
      </c>
    </row>
    <row r="665" spans="1:8" ht="12.75">
      <c r="A665" t="s">
        <v>6</v>
      </c>
      <c r="B665" t="s">
        <v>636</v>
      </c>
      <c r="D665" t="s">
        <v>598</v>
      </c>
      <c r="E665" t="s">
        <v>598</v>
      </c>
      <c r="F665" t="s">
        <v>10</v>
      </c>
      <c r="G665" t="s">
        <v>11</v>
      </c>
      <c r="H665" s="1" t="str">
        <f>HYPERLINK("http://apps.fcc.gov/ecfs/document/view?id=7520942878","Custom Description sample ___ District School Comment on E Rate NPRM  (1 page)")</f>
        <v>Custom Description sample ___ District School Comment on E Rate NPRM  (1 page)</v>
      </c>
    </row>
    <row r="666" spans="1:8" ht="12.75">
      <c r="A666" t="s">
        <v>6</v>
      </c>
      <c r="B666" t="s">
        <v>637</v>
      </c>
      <c r="D666" t="s">
        <v>598</v>
      </c>
      <c r="E666" t="s">
        <v>598</v>
      </c>
      <c r="F666" t="s">
        <v>10</v>
      </c>
      <c r="G666" t="s">
        <v>11</v>
      </c>
      <c r="H666" s="1" t="str">
        <f>HYPERLINK("http://apps.fcc.gov/ecfs/document/view?id=7520942877","  (1 page)")</f>
        <v>  (1 page)</v>
      </c>
    </row>
    <row r="667" spans="1:8" ht="12.75">
      <c r="A667" t="s">
        <v>6</v>
      </c>
      <c r="B667" t="s">
        <v>638</v>
      </c>
      <c r="C667" t="s">
        <v>639</v>
      </c>
      <c r="D667" t="s">
        <v>598</v>
      </c>
      <c r="E667" t="s">
        <v>598</v>
      </c>
      <c r="F667" t="s">
        <v>10</v>
      </c>
      <c r="G667" t="s">
        <v>11</v>
      </c>
      <c r="H667" s="1" t="str">
        <f>HYPERLINK("http://apps.fcc.gov/ecfs/document/view?id=7520942907","Chico USD Comment on E Rate NPRM (1 page)")</f>
        <v>Chico USD Comment on E Rate NPRM (1 page)</v>
      </c>
    </row>
    <row r="668" spans="1:8" ht="12.75">
      <c r="A668" t="s">
        <v>6</v>
      </c>
      <c r="B668" t="s">
        <v>640</v>
      </c>
      <c r="C668" t="s">
        <v>641</v>
      </c>
      <c r="D668" t="s">
        <v>598</v>
      </c>
      <c r="E668" t="s">
        <v>598</v>
      </c>
      <c r="F668" t="s">
        <v>10</v>
      </c>
      <c r="G668" t="s">
        <v>11</v>
      </c>
      <c r="H668" s="1" t="str">
        <f>HYPERLINK("http://apps.fcc.gov/ecfs/document/view?id=7520942900","  (2 pages)")</f>
        <v>  (2 pages)</v>
      </c>
    </row>
    <row r="669" spans="1:8" ht="12.75">
      <c r="A669" t="s">
        <v>6</v>
      </c>
      <c r="B669" t="s">
        <v>642</v>
      </c>
      <c r="D669" t="s">
        <v>598</v>
      </c>
      <c r="E669" t="s">
        <v>598</v>
      </c>
      <c r="F669" t="s">
        <v>10</v>
      </c>
      <c r="G669" t="s">
        <v>11</v>
      </c>
      <c r="H669" s="1" t="str">
        <f>HYPERLINK("http://apps.fcc.gov/ecfs/document/view?id=7520942908"," (1 page)")</f>
        <v> (1 page)</v>
      </c>
    </row>
    <row r="670" spans="1:8" ht="12.75">
      <c r="A670" t="s">
        <v>6</v>
      </c>
      <c r="B670" t="s">
        <v>643</v>
      </c>
      <c r="D670" t="s">
        <v>598</v>
      </c>
      <c r="E670" t="s">
        <v>598</v>
      </c>
      <c r="F670" t="s">
        <v>10</v>
      </c>
      <c r="G670" t="s">
        <v>11</v>
      </c>
      <c r="H670" s="1" t="str">
        <f>HYPERLINK("http://apps.fcc.gov/ecfs/document/view?id=7520942884","  (1 page)")</f>
        <v>  (1 page)</v>
      </c>
    </row>
    <row r="671" spans="1:8" ht="12.75">
      <c r="A671" t="s">
        <v>6</v>
      </c>
      <c r="B671" t="s">
        <v>644</v>
      </c>
      <c r="D671" t="s">
        <v>598</v>
      </c>
      <c r="E671" t="s">
        <v>598</v>
      </c>
      <c r="F671" t="s">
        <v>10</v>
      </c>
      <c r="G671" t="s">
        <v>11</v>
      </c>
      <c r="H671" s="1" t="str">
        <f>HYPERLINK("http://apps.fcc.gov/ecfs/document/view?id=7520942911","  (1 page)")</f>
        <v>  (1 page)</v>
      </c>
    </row>
    <row r="672" spans="1:8" ht="12.75">
      <c r="A672" t="s">
        <v>6</v>
      </c>
      <c r="B672" t="s">
        <v>645</v>
      </c>
      <c r="C672" t="s">
        <v>646</v>
      </c>
      <c r="D672" t="s">
        <v>598</v>
      </c>
      <c r="E672" t="s">
        <v>598</v>
      </c>
      <c r="F672" t="s">
        <v>10</v>
      </c>
      <c r="G672" t="s">
        <v>11</v>
      </c>
      <c r="H672" s="1" t="str">
        <f>HYPERLINK("http://apps.fcc.gov/ecfs/document/view?id=7520942876","Navasota ISD Comment on E Rate NPRM (1 page)")</f>
        <v>Navasota ISD Comment on E Rate NPRM (1 page)</v>
      </c>
    </row>
    <row r="673" spans="1:8" ht="12.75">
      <c r="A673" t="s">
        <v>6</v>
      </c>
      <c r="B673" t="s">
        <v>647</v>
      </c>
      <c r="D673" t="s">
        <v>598</v>
      </c>
      <c r="E673" t="s">
        <v>598</v>
      </c>
      <c r="F673" t="s">
        <v>10</v>
      </c>
      <c r="G673" t="s">
        <v>11</v>
      </c>
      <c r="H673" s="1" t="str">
        <f>HYPERLINK("http://apps.fcc.gov/ecfs/document/view?id=7520942879","FCC Plea (2 pages)")</f>
        <v>FCC Plea (2 pages)</v>
      </c>
    </row>
    <row r="674" spans="1:8" ht="12.75">
      <c r="A674" t="s">
        <v>6</v>
      </c>
      <c r="B674" t="s">
        <v>648</v>
      </c>
      <c r="D674" t="s">
        <v>598</v>
      </c>
      <c r="E674" t="s">
        <v>598</v>
      </c>
      <c r="F674" t="s">
        <v>10</v>
      </c>
      <c r="G674" t="s">
        <v>11</v>
      </c>
      <c r="H674" s="1" t="str">
        <f>HYPERLINK("http://apps.fcc.gov/ecfs/document/view?id=7520942880","  (1 page)")</f>
        <v>  (1 page)</v>
      </c>
    </row>
    <row r="675" spans="1:8" ht="12.75">
      <c r="A675" t="s">
        <v>6</v>
      </c>
      <c r="B675" t="s">
        <v>649</v>
      </c>
      <c r="C675" t="s">
        <v>650</v>
      </c>
      <c r="D675" t="s">
        <v>598</v>
      </c>
      <c r="E675" t="s">
        <v>598</v>
      </c>
      <c r="F675" t="s">
        <v>10</v>
      </c>
      <c r="G675" t="s">
        <v>11</v>
      </c>
      <c r="H675" s="1" t="str">
        <f>HYPERLINK("http://apps.fcc.gov/ecfs/document/view?id=7520942885","parent e rate comment (1 page)")</f>
        <v>parent e rate comment (1 page)</v>
      </c>
    </row>
    <row r="676" spans="1:8" ht="12.75">
      <c r="A676" t="s">
        <v>6</v>
      </c>
      <c r="B676" t="s">
        <v>651</v>
      </c>
      <c r="D676" t="s">
        <v>652</v>
      </c>
      <c r="E676" t="s">
        <v>598</v>
      </c>
      <c r="F676" t="s">
        <v>10</v>
      </c>
      <c r="G676" t="s">
        <v>11</v>
      </c>
      <c r="H676" s="1" t="str">
        <f>HYPERLINK("http://apps.fcc.gov/ecfs/document/view?id=7520942841"," (1 page)")</f>
        <v> (1 page)</v>
      </c>
    </row>
    <row r="677" spans="1:8" ht="12.75">
      <c r="A677" t="s">
        <v>6</v>
      </c>
      <c r="B677" t="s">
        <v>653</v>
      </c>
      <c r="C677" t="s">
        <v>654</v>
      </c>
      <c r="D677" t="s">
        <v>598</v>
      </c>
      <c r="E677" t="s">
        <v>598</v>
      </c>
      <c r="F677" t="s">
        <v>10</v>
      </c>
      <c r="G677" t="s">
        <v>11</v>
      </c>
      <c r="H677" s="1" t="str">
        <f>HYPERLINK("http://apps.fcc.gov/ecfs/document/view?id=7520942872","  (1 page)")</f>
        <v>  (1 page)</v>
      </c>
    </row>
    <row r="678" spans="1:8" ht="12.75">
      <c r="A678" t="s">
        <v>6</v>
      </c>
      <c r="B678" t="s">
        <v>655</v>
      </c>
      <c r="D678" t="s">
        <v>652</v>
      </c>
      <c r="E678" t="s">
        <v>598</v>
      </c>
      <c r="F678" t="s">
        <v>10</v>
      </c>
      <c r="G678" t="s">
        <v>11</v>
      </c>
      <c r="H678" s="1" t="str">
        <f>HYPERLINK("http://apps.fcc.gov/ecfs/document/view?id=7520942839"," (1 page)")</f>
        <v> (1 page)</v>
      </c>
    </row>
    <row r="679" spans="1:8" ht="12.75">
      <c r="A679" t="s">
        <v>6</v>
      </c>
      <c r="B679" t="s">
        <v>656</v>
      </c>
      <c r="D679" t="s">
        <v>652</v>
      </c>
      <c r="E679" t="s">
        <v>598</v>
      </c>
      <c r="F679" t="s">
        <v>10</v>
      </c>
      <c r="G679" t="s">
        <v>11</v>
      </c>
      <c r="H679" s="1" t="str">
        <f>HYPERLINK("http://apps.fcc.gov/ecfs/document/view?id=7520942843","  (1 page)")</f>
        <v>  (1 page)</v>
      </c>
    </row>
    <row r="680" spans="1:8" ht="12.75">
      <c r="A680" t="s">
        <v>6</v>
      </c>
      <c r="B680" t="s">
        <v>657</v>
      </c>
      <c r="D680" t="s">
        <v>598</v>
      </c>
      <c r="E680" t="s">
        <v>598</v>
      </c>
      <c r="F680" t="s">
        <v>10</v>
      </c>
      <c r="G680" t="s">
        <v>11</v>
      </c>
      <c r="H680" s="1" t="str">
        <f>HYPERLINK("http://apps.fcc.gov/ecfs/document/view?id=7520942871"," (1 page)")</f>
        <v> (1 page)</v>
      </c>
    </row>
    <row r="681" spans="1:8" ht="12.75">
      <c r="A681" t="s">
        <v>6</v>
      </c>
      <c r="B681" t="s">
        <v>658</v>
      </c>
      <c r="D681" t="s">
        <v>598</v>
      </c>
      <c r="E681" t="s">
        <v>598</v>
      </c>
      <c r="F681" t="s">
        <v>10</v>
      </c>
      <c r="G681" t="s">
        <v>11</v>
      </c>
      <c r="H681" s="1" t="str">
        <f>HYPERLINK("http://apps.fcc.gov/ecfs/document/view?id=7520942866"," (1 page)")</f>
        <v> (1 page)</v>
      </c>
    </row>
    <row r="682" spans="1:8" ht="12.75">
      <c r="A682" t="s">
        <v>6</v>
      </c>
      <c r="B682" t="s">
        <v>209</v>
      </c>
      <c r="D682" t="s">
        <v>652</v>
      </c>
      <c r="E682" t="s">
        <v>598</v>
      </c>
      <c r="F682" t="s">
        <v>341</v>
      </c>
      <c r="G682" t="s">
        <v>342</v>
      </c>
      <c r="H682" s="1" t="str">
        <f>HYPERLINK("http://apps.fcc.gov/ecfs/document/view?id=7520942842","  (5 pages)")</f>
        <v>  (5 pages)</v>
      </c>
    </row>
    <row r="683" spans="1:8" ht="12.75">
      <c r="A683" t="s">
        <v>6</v>
      </c>
      <c r="B683" t="s">
        <v>659</v>
      </c>
      <c r="D683" t="s">
        <v>652</v>
      </c>
      <c r="E683" t="s">
        <v>652</v>
      </c>
      <c r="F683" t="s">
        <v>10</v>
      </c>
      <c r="G683" t="s">
        <v>11</v>
      </c>
      <c r="H683" s="1" t="str">
        <f>HYPERLINK("http://apps.fcc.gov/ecfs/document/view?id=7520942834","Wawasee Community School Corporation Comment on NPRM changes to Email and Web Ho (2 pages)")</f>
        <v>Wawasee Community School Corporation Comment on NPRM changes to Email and Web Ho (2 pages)</v>
      </c>
    </row>
    <row r="684" spans="1:8" ht="12.75">
      <c r="A684" t="s">
        <v>6</v>
      </c>
      <c r="B684" t="s">
        <v>660</v>
      </c>
      <c r="D684" t="s">
        <v>652</v>
      </c>
      <c r="E684" t="s">
        <v>652</v>
      </c>
      <c r="F684" t="s">
        <v>10</v>
      </c>
      <c r="G684" t="s">
        <v>11</v>
      </c>
      <c r="H684" s="1" t="str">
        <f>HYPERLINK("http://apps.fcc.gov/ecfs/document/view?id=7520942818","Groesbeck ISD s comment on changes to email and web hosting  (1 page)")</f>
        <v>Groesbeck ISD s comment on changes to email and web hosting  (1 page)</v>
      </c>
    </row>
    <row r="685" spans="1:8" ht="12.75">
      <c r="A685" t="s">
        <v>6</v>
      </c>
      <c r="B685" t="s">
        <v>661</v>
      </c>
      <c r="D685" t="s">
        <v>652</v>
      </c>
      <c r="E685" t="s">
        <v>652</v>
      </c>
      <c r="F685" t="s">
        <v>10</v>
      </c>
      <c r="G685" t="s">
        <v>11</v>
      </c>
      <c r="H685" s="1" t="str">
        <f>HYPERLINK("http://apps.fcc.gov/ecfs/document/view?id=7520942828","  (2 pages)")</f>
        <v>  (2 pages)</v>
      </c>
    </row>
    <row r="686" spans="1:8" ht="12.75">
      <c r="A686" t="s">
        <v>6</v>
      </c>
      <c r="B686" t="s">
        <v>662</v>
      </c>
      <c r="D686" t="s">
        <v>553</v>
      </c>
      <c r="E686" t="s">
        <v>652</v>
      </c>
      <c r="F686" t="s">
        <v>10</v>
      </c>
      <c r="G686" t="s">
        <v>11</v>
      </c>
      <c r="H686" s="1" t="str">
        <f>HYPERLINK("http://apps.fcc.gov/ecfs/document/view?id=7520942737","  (1 page)")</f>
        <v>  (1 page)</v>
      </c>
    </row>
    <row r="687" spans="1:8" ht="12.75">
      <c r="A687" t="s">
        <v>6</v>
      </c>
      <c r="B687" t="s">
        <v>663</v>
      </c>
      <c r="D687" t="s">
        <v>553</v>
      </c>
      <c r="E687" t="s">
        <v>652</v>
      </c>
      <c r="F687" t="s">
        <v>10</v>
      </c>
      <c r="G687" t="s">
        <v>11</v>
      </c>
      <c r="H687" s="1" t="str">
        <f>HYPERLINK("http://apps.fcc.gov/ecfs/document/view?id=7520942751","  (3 pages)")</f>
        <v>  (3 pages)</v>
      </c>
    </row>
    <row r="688" spans="1:8" ht="12.75">
      <c r="A688" t="s">
        <v>6</v>
      </c>
      <c r="B688" t="s">
        <v>664</v>
      </c>
      <c r="D688" t="s">
        <v>553</v>
      </c>
      <c r="E688" t="s">
        <v>652</v>
      </c>
      <c r="F688" t="s">
        <v>10</v>
      </c>
      <c r="G688" t="s">
        <v>11</v>
      </c>
      <c r="H688" s="1" t="str">
        <f>HYPERLINK("http://apps.fcc.gov/ecfs/document/view?id=7520942716","E Rate comment (1 page)")</f>
        <v>E Rate comment (1 page)</v>
      </c>
    </row>
    <row r="689" spans="1:8" ht="12.75">
      <c r="A689" t="s">
        <v>6</v>
      </c>
      <c r="B689" t="s">
        <v>665</v>
      </c>
      <c r="D689" t="s">
        <v>553</v>
      </c>
      <c r="E689" t="s">
        <v>652</v>
      </c>
      <c r="F689" t="s">
        <v>10</v>
      </c>
      <c r="G689" t="s">
        <v>11</v>
      </c>
      <c r="H689" s="1" t="str">
        <f>HYPERLINK("http://apps.fcc.gov/ecfs/document/view?id=7520942771","Fresno USD Comments to FCC E Rate 2 0 NPRM (5 pages)")</f>
        <v>Fresno USD Comments to FCC E Rate 2 0 NPRM (5 pages)</v>
      </c>
    </row>
    <row r="690" spans="1:8" ht="12.75">
      <c r="A690" t="s">
        <v>6</v>
      </c>
      <c r="B690" t="s">
        <v>666</v>
      </c>
      <c r="D690" t="s">
        <v>652</v>
      </c>
      <c r="E690" t="s">
        <v>652</v>
      </c>
      <c r="F690" t="s">
        <v>10</v>
      </c>
      <c r="G690" t="s">
        <v>180</v>
      </c>
      <c r="H690" s="1" t="str">
        <f>HYPERLINK("http://apps.fcc.gov/ecfs/document/view?id=7520942800","  (2 pages)")</f>
        <v>  (2 pages)</v>
      </c>
    </row>
    <row r="691" spans="1:8" ht="12.75">
      <c r="A691" t="s">
        <v>6</v>
      </c>
      <c r="B691" t="s">
        <v>667</v>
      </c>
      <c r="D691" t="s">
        <v>553</v>
      </c>
      <c r="E691" t="s">
        <v>652</v>
      </c>
      <c r="F691" t="s">
        <v>10</v>
      </c>
      <c r="G691" t="s">
        <v>11</v>
      </c>
      <c r="H691" s="1" t="str">
        <f>HYPERLINK("http://apps.fcc.gov/ecfs/document/view?id=7520942767","  (2 pages)")</f>
        <v>  (2 pages)</v>
      </c>
    </row>
    <row r="692" spans="1:8" ht="12.75">
      <c r="A692" t="s">
        <v>6</v>
      </c>
      <c r="B692" t="s">
        <v>668</v>
      </c>
      <c r="D692" t="s">
        <v>553</v>
      </c>
      <c r="E692" t="s">
        <v>652</v>
      </c>
      <c r="F692" t="s">
        <v>10</v>
      </c>
      <c r="G692" t="s">
        <v>11</v>
      </c>
      <c r="H692" s="1" t="str">
        <f>HYPERLINK("http://apps.fcc.gov/ecfs/document/view?id=7520942723","  (2 pages)")</f>
        <v>  (2 pages)</v>
      </c>
    </row>
    <row r="693" spans="1:8" ht="12.75">
      <c r="A693" t="s">
        <v>6</v>
      </c>
      <c r="B693" t="s">
        <v>669</v>
      </c>
      <c r="D693" t="s">
        <v>553</v>
      </c>
      <c r="E693" t="s">
        <v>553</v>
      </c>
      <c r="F693" t="s">
        <v>10</v>
      </c>
      <c r="G693" t="s">
        <v>11</v>
      </c>
      <c r="H693" s="1" t="str">
        <f>HYPERLINK("http://apps.fcc.gov/ecfs/document/view?id=7520942708"," (1 page)")</f>
        <v> (1 page)</v>
      </c>
    </row>
    <row r="694" spans="1:8" ht="12.75">
      <c r="A694" t="s">
        <v>6</v>
      </c>
      <c r="B694" t="s">
        <v>670</v>
      </c>
      <c r="D694" t="s">
        <v>553</v>
      </c>
      <c r="E694" t="s">
        <v>553</v>
      </c>
      <c r="F694" t="s">
        <v>10</v>
      </c>
      <c r="G694" t="s">
        <v>11</v>
      </c>
      <c r="H694" s="1" t="str">
        <f>HYPERLINK("http://apps.fcc.gov/ecfs/document/view?id=7520942696"," (1 page)")</f>
        <v> (1 page)</v>
      </c>
    </row>
    <row r="695" spans="1:8" ht="12.75">
      <c r="A695" t="s">
        <v>6</v>
      </c>
      <c r="B695" t="s">
        <v>671</v>
      </c>
      <c r="D695" t="s">
        <v>553</v>
      </c>
      <c r="E695" t="s">
        <v>553</v>
      </c>
      <c r="F695" t="s">
        <v>10</v>
      </c>
      <c r="G695" t="s">
        <v>11</v>
      </c>
      <c r="H695" s="1" t="str">
        <f>HYPERLINK("http://apps.fcc.gov/ecfs/document/view?id=7520942710","Erate Reform (3 pages)")</f>
        <v>Erate Reform (3 pages)</v>
      </c>
    </row>
    <row r="696" spans="1:8" ht="12.75">
      <c r="A696" t="s">
        <v>6</v>
      </c>
      <c r="B696" t="s">
        <v>672</v>
      </c>
      <c r="D696" t="s">
        <v>673</v>
      </c>
      <c r="E696" t="s">
        <v>553</v>
      </c>
      <c r="F696" t="s">
        <v>10</v>
      </c>
      <c r="G696" t="s">
        <v>11</v>
      </c>
      <c r="H696" s="1" t="str">
        <f>HYPERLINK("http://apps.fcc.gov/ecfs/document/view?id=7520942624","School District Comment on NPRM changes to Email and Web Hosting (1 page)")</f>
        <v>School District Comment on NPRM changes to Email and Web Hosting (1 page)</v>
      </c>
    </row>
    <row r="697" spans="1:8" ht="12.75">
      <c r="A697" t="s">
        <v>6</v>
      </c>
      <c r="B697" t="s">
        <v>674</v>
      </c>
      <c r="D697" t="s">
        <v>673</v>
      </c>
      <c r="E697" t="s">
        <v>673</v>
      </c>
      <c r="F697" t="s">
        <v>10</v>
      </c>
      <c r="G697" t="s">
        <v>11</v>
      </c>
      <c r="H697" s="1" t="str">
        <f>HYPERLINK("http://apps.fcc.gov/ecfs/document/view?id=7520942595","  (3 pages)")</f>
        <v>  (3 pages)</v>
      </c>
    </row>
    <row r="698" spans="1:8" ht="12.75">
      <c r="A698" t="s">
        <v>6</v>
      </c>
      <c r="B698" t="s">
        <v>675</v>
      </c>
      <c r="D698" t="s">
        <v>673</v>
      </c>
      <c r="E698" t="s">
        <v>673</v>
      </c>
      <c r="F698" t="s">
        <v>10</v>
      </c>
      <c r="G698" t="s">
        <v>11</v>
      </c>
      <c r="H698" s="1" t="str">
        <f>HYPERLINK("http://apps.fcc.gov/ecfs/document/view?id=7520942542"," (1 page)")</f>
        <v> (1 page)</v>
      </c>
    </row>
    <row r="699" spans="1:8" ht="12.75">
      <c r="A699" t="s">
        <v>6</v>
      </c>
      <c r="B699" t="s">
        <v>676</v>
      </c>
      <c r="D699" t="s">
        <v>673</v>
      </c>
      <c r="E699" t="s">
        <v>673</v>
      </c>
      <c r="F699" t="s">
        <v>10</v>
      </c>
      <c r="G699" t="s">
        <v>11</v>
      </c>
      <c r="H699" s="1" t="str">
        <f>HYPERLINK("http://apps.fcc.gov/ecfs/document/view?id=7520942559","St Mary Parish School District Comment on NPRM changes to Email and Web Hosting (2 pages)")</f>
        <v>St Mary Parish School District Comment on NPRM changes to Email and Web Hosting (2 pages)</v>
      </c>
    </row>
    <row r="700" spans="1:8" ht="12.75">
      <c r="A700" t="s">
        <v>6</v>
      </c>
      <c r="B700" t="s">
        <v>677</v>
      </c>
      <c r="D700" t="s">
        <v>673</v>
      </c>
      <c r="E700" t="s">
        <v>673</v>
      </c>
      <c r="F700" t="s">
        <v>10</v>
      </c>
      <c r="G700" t="s">
        <v>11</v>
      </c>
      <c r="H700" s="1" t="str">
        <f>HYPERLINK("http://apps.fcc.gov/ecfs/document/view?id=7520942558"," (1 page)")</f>
        <v> (1 page)</v>
      </c>
    </row>
    <row r="701" spans="1:8" ht="12.75">
      <c r="A701" t="s">
        <v>6</v>
      </c>
      <c r="B701" t="s">
        <v>678</v>
      </c>
      <c r="D701" t="s">
        <v>673</v>
      </c>
      <c r="E701" t="s">
        <v>673</v>
      </c>
      <c r="F701" t="s">
        <v>10</v>
      </c>
      <c r="G701" t="s">
        <v>11</v>
      </c>
      <c r="H701" s="1" t="str">
        <f>HYPERLINK("http://apps.fcc.gov/ecfs/document/view?id=7520942560"," (1 page)")</f>
        <v> (1 page)</v>
      </c>
    </row>
    <row r="702" spans="1:8" ht="12.75">
      <c r="A702" t="s">
        <v>6</v>
      </c>
      <c r="B702" t="s">
        <v>679</v>
      </c>
      <c r="D702" t="s">
        <v>673</v>
      </c>
      <c r="E702" t="s">
        <v>673</v>
      </c>
      <c r="F702" t="s">
        <v>10</v>
      </c>
      <c r="G702" t="s">
        <v>11</v>
      </c>
      <c r="H702" s="1" t="str">
        <f>HYPERLINK("http://apps.fcc.gov/ecfs/document/view?id=7520942568","SUPERNet Consortium response to NPRM (2 pages)")</f>
        <v>SUPERNet Consortium response to NPRM (2 pages)</v>
      </c>
    </row>
    <row r="703" spans="1:8" ht="12.75">
      <c r="A703" t="s">
        <v>6</v>
      </c>
      <c r="B703" t="s">
        <v>680</v>
      </c>
      <c r="D703" t="s">
        <v>673</v>
      </c>
      <c r="E703" t="s">
        <v>673</v>
      </c>
      <c r="F703" t="s">
        <v>10</v>
      </c>
      <c r="G703" t="s">
        <v>11</v>
      </c>
      <c r="H703" s="1" t="str">
        <f>HYPERLINK("http://apps.fcc.gov/ecfs/document/view?id=7520942594","Miami ISD Comment on NPRM changes to Email web hosting (1 page)")</f>
        <v>Miami ISD Comment on NPRM changes to Email web hosting (1 page)</v>
      </c>
    </row>
    <row r="704" spans="1:8" ht="12.75">
      <c r="A704" t="s">
        <v>6</v>
      </c>
      <c r="B704" t="s">
        <v>681</v>
      </c>
      <c r="D704" t="s">
        <v>673</v>
      </c>
      <c r="E704" t="s">
        <v>673</v>
      </c>
      <c r="F704" t="s">
        <v>10</v>
      </c>
      <c r="G704" t="s">
        <v>11</v>
      </c>
      <c r="H704" s="1" t="str">
        <f>HYPERLINK("http://apps.fcc.gov/ecfs/document/view?id=7520942565"," (1 page)")</f>
        <v> (1 page)</v>
      </c>
    </row>
    <row r="705" spans="1:8" ht="12.75">
      <c r="A705" t="s">
        <v>6</v>
      </c>
      <c r="B705" t="s">
        <v>682</v>
      </c>
      <c r="D705" t="s">
        <v>673</v>
      </c>
      <c r="E705" t="s">
        <v>673</v>
      </c>
      <c r="F705" t="s">
        <v>10</v>
      </c>
      <c r="G705" t="s">
        <v>11</v>
      </c>
      <c r="H705" s="1" t="str">
        <f>HYPERLINK("http://apps.fcc.gov/ecfs/document/view?id=7520942539","  (1 page)")</f>
        <v>  (1 page)</v>
      </c>
    </row>
    <row r="706" spans="1:8" ht="12.75">
      <c r="A706" t="s">
        <v>6</v>
      </c>
      <c r="B706" t="s">
        <v>683</v>
      </c>
      <c r="D706" t="s">
        <v>673</v>
      </c>
      <c r="E706" t="s">
        <v>673</v>
      </c>
      <c r="F706" t="s">
        <v>10</v>
      </c>
      <c r="G706" t="s">
        <v>11</v>
      </c>
      <c r="H706" s="1" t="str">
        <f>HYPERLINK("http://apps.fcc.gov/ecfs/document/view?id=7520942546"," (1 page)")</f>
        <v> (1 page)</v>
      </c>
    </row>
    <row r="707" spans="1:8" ht="12.75">
      <c r="A707" t="s">
        <v>6</v>
      </c>
      <c r="B707" t="s">
        <v>684</v>
      </c>
      <c r="D707" t="s">
        <v>685</v>
      </c>
      <c r="E707" t="s">
        <v>673</v>
      </c>
      <c r="F707" t="s">
        <v>10</v>
      </c>
      <c r="G707" t="s">
        <v>11</v>
      </c>
      <c r="H707" s="1" t="str">
        <f>HYPERLINK("http://apps.fcc.gov/ecfs/document/view?id=7520942268","Whiteville City Schools Comment on NPRM changes to Email and Web Hosting (1 page)")</f>
        <v>Whiteville City Schools Comment on NPRM changes to Email and Web Hosting (1 page)</v>
      </c>
    </row>
    <row r="708" spans="1:8" ht="12.75">
      <c r="A708" t="s">
        <v>6</v>
      </c>
      <c r="B708" t="s">
        <v>686</v>
      </c>
      <c r="D708" t="s">
        <v>673</v>
      </c>
      <c r="E708" t="s">
        <v>673</v>
      </c>
      <c r="F708" t="s">
        <v>10</v>
      </c>
      <c r="G708" t="s">
        <v>11</v>
      </c>
      <c r="H708" s="1" t="str">
        <f>HYPERLINK("http://apps.fcc.gov/ecfs/document/view?id=7520942528","  (2 pages)")</f>
        <v>  (2 pages)</v>
      </c>
    </row>
    <row r="709" spans="1:8" ht="12.75">
      <c r="A709" t="s">
        <v>6</v>
      </c>
      <c r="B709" t="s">
        <v>687</v>
      </c>
      <c r="D709" t="s">
        <v>673</v>
      </c>
      <c r="E709" t="s">
        <v>673</v>
      </c>
      <c r="F709" t="s">
        <v>10</v>
      </c>
      <c r="G709" t="s">
        <v>11</v>
      </c>
      <c r="H709" s="1" t="str">
        <f>HYPERLINK("http://apps.fcc.gov/ecfs/document/view?id=7520942518"," (1 page)")</f>
        <v> (1 page)</v>
      </c>
    </row>
    <row r="710" spans="1:8" ht="12.75">
      <c r="A710" t="s">
        <v>6</v>
      </c>
      <c r="B710" t="s">
        <v>688</v>
      </c>
      <c r="D710" t="s">
        <v>673</v>
      </c>
      <c r="E710" t="s">
        <v>673</v>
      </c>
      <c r="F710" t="s">
        <v>10</v>
      </c>
      <c r="G710" t="s">
        <v>11</v>
      </c>
      <c r="H710" s="1" t="str">
        <f>HYPERLINK("http://apps.fcc.gov/ecfs/document/view?id=7520942514"," (1 page)")</f>
        <v> (1 page)</v>
      </c>
    </row>
    <row r="711" spans="1:8" ht="12.75">
      <c r="A711" t="s">
        <v>6</v>
      </c>
      <c r="B711" t="s">
        <v>689</v>
      </c>
      <c r="D711" t="s">
        <v>673</v>
      </c>
      <c r="E711" t="s">
        <v>673</v>
      </c>
      <c r="F711" t="s">
        <v>10</v>
      </c>
      <c r="G711" t="s">
        <v>11</v>
      </c>
      <c r="H711" s="1" t="str">
        <f>HYPERLINK("http://apps.fcc.gov/ecfs/document/view?id=7520942535"," (2 pages)")</f>
        <v> (2 pages)</v>
      </c>
    </row>
    <row r="712" spans="1:8" ht="12.75">
      <c r="A712" t="s">
        <v>6</v>
      </c>
      <c r="B712" t="s">
        <v>690</v>
      </c>
      <c r="D712" t="s">
        <v>673</v>
      </c>
      <c r="E712" t="s">
        <v>673</v>
      </c>
      <c r="F712" t="s">
        <v>10</v>
      </c>
      <c r="G712" t="s">
        <v>11</v>
      </c>
      <c r="H712" s="1" t="str">
        <f>HYPERLINK("http://apps.fcc.gov/ecfs/document/view?id=7520942526"," (1 page)")</f>
        <v> (1 page)</v>
      </c>
    </row>
    <row r="713" spans="1:8" ht="12.75">
      <c r="A713" t="s">
        <v>6</v>
      </c>
      <c r="B713" t="s">
        <v>691</v>
      </c>
      <c r="C713" t="s">
        <v>692</v>
      </c>
      <c r="D713" t="s">
        <v>673</v>
      </c>
      <c r="E713" t="s">
        <v>673</v>
      </c>
      <c r="F713" t="s">
        <v>10</v>
      </c>
      <c r="G713" t="s">
        <v>11</v>
      </c>
      <c r="H713" s="1" t="str">
        <f>HYPERLINK("http://apps.fcc.gov/ecfs/document/view?id=7520942520","  (1 page)")</f>
        <v>  (1 page)</v>
      </c>
    </row>
    <row r="714" spans="1:8" ht="12.75">
      <c r="A714" t="s">
        <v>6</v>
      </c>
      <c r="B714" t="s">
        <v>693</v>
      </c>
      <c r="D714" t="s">
        <v>685</v>
      </c>
      <c r="E714" t="s">
        <v>673</v>
      </c>
      <c r="F714" t="s">
        <v>10</v>
      </c>
      <c r="G714" t="s">
        <v>11</v>
      </c>
      <c r="H714" s="1" t="str">
        <f>HYPERLINK("http://apps.fcc.gov/ecfs/document/view?id=7520942464","  (2 pages)")</f>
        <v>  (2 pages)</v>
      </c>
    </row>
    <row r="715" spans="1:8" ht="12.75">
      <c r="A715" t="s">
        <v>6</v>
      </c>
      <c r="B715" t="s">
        <v>694</v>
      </c>
      <c r="D715" t="s">
        <v>685</v>
      </c>
      <c r="E715" t="s">
        <v>673</v>
      </c>
      <c r="F715" t="s">
        <v>10</v>
      </c>
      <c r="G715" t="s">
        <v>11</v>
      </c>
      <c r="H715" s="1" t="str">
        <f>HYPERLINK("http://apps.fcc.gov/ecfs/document/view?id=7520942290","  (2 pages)")</f>
        <v>  (2 pages)</v>
      </c>
    </row>
    <row r="716" spans="1:8" ht="12.75">
      <c r="A716" t="s">
        <v>6</v>
      </c>
      <c r="B716" t="s">
        <v>695</v>
      </c>
      <c r="D716" t="s">
        <v>673</v>
      </c>
      <c r="E716" t="s">
        <v>673</v>
      </c>
      <c r="F716" t="s">
        <v>10</v>
      </c>
      <c r="G716" t="s">
        <v>11</v>
      </c>
      <c r="H716" s="1" t="str">
        <f>HYPERLINK("http://apps.fcc.gov/ecfs/document/view?id=7520942517"," (1 page)")</f>
        <v> (1 page)</v>
      </c>
    </row>
    <row r="717" spans="1:8" ht="12.75">
      <c r="A717" t="s">
        <v>6</v>
      </c>
      <c r="B717" t="s">
        <v>696</v>
      </c>
      <c r="D717" t="s">
        <v>685</v>
      </c>
      <c r="E717" t="s">
        <v>685</v>
      </c>
      <c r="F717" t="s">
        <v>10</v>
      </c>
      <c r="G717" t="s">
        <v>11</v>
      </c>
      <c r="H717" s="1" t="str">
        <f>HYPERLINK("http://apps.fcc.gov/ecfs/document/view?id=7520942261","  (3 pages)")</f>
        <v>  (3 pages)</v>
      </c>
    </row>
    <row r="718" spans="1:8" ht="12.75">
      <c r="A718" t="s">
        <v>6</v>
      </c>
      <c r="B718" t="s">
        <v>697</v>
      </c>
      <c r="D718" t="s">
        <v>685</v>
      </c>
      <c r="E718" t="s">
        <v>685</v>
      </c>
      <c r="F718" t="s">
        <v>10</v>
      </c>
      <c r="G718" t="s">
        <v>11</v>
      </c>
      <c r="H718" s="1" t="str">
        <f>HYPERLINK("http://apps.fcc.gov/ecfs/document/view?id=7520942249","  (1 page)")</f>
        <v>  (1 page)</v>
      </c>
    </row>
    <row r="719" spans="1:8" ht="12.75">
      <c r="A719" t="s">
        <v>6</v>
      </c>
      <c r="B719" t="s">
        <v>698</v>
      </c>
      <c r="D719" t="s">
        <v>685</v>
      </c>
      <c r="E719" t="s">
        <v>685</v>
      </c>
      <c r="F719" t="s">
        <v>10</v>
      </c>
      <c r="G719" t="s">
        <v>11</v>
      </c>
      <c r="H719" s="1" t="str">
        <f>HYPERLINK("http://apps.fcc.gov/ecfs/document/view?id=7520942250","  (2 pages)")</f>
        <v>  (2 pages)</v>
      </c>
    </row>
    <row r="720" spans="1:8" ht="12.75">
      <c r="A720" t="s">
        <v>6</v>
      </c>
      <c r="B720" t="s">
        <v>699</v>
      </c>
      <c r="D720" t="s">
        <v>685</v>
      </c>
      <c r="E720" t="s">
        <v>685</v>
      </c>
      <c r="F720" t="s">
        <v>10</v>
      </c>
      <c r="G720" t="s">
        <v>11</v>
      </c>
      <c r="H720" s="1" t="str">
        <f>HYPERLINK("http://apps.fcc.gov/ecfs/document/view?id=7520942242","E rate letter (2 pages)")</f>
        <v>E rate letter (2 pages)</v>
      </c>
    </row>
    <row r="721" spans="1:8" ht="12.75">
      <c r="A721" t="s">
        <v>6</v>
      </c>
      <c r="B721" t="s">
        <v>700</v>
      </c>
      <c r="D721" t="s">
        <v>701</v>
      </c>
      <c r="E721" t="s">
        <v>685</v>
      </c>
      <c r="F721" t="s">
        <v>10</v>
      </c>
      <c r="G721" t="s">
        <v>11</v>
      </c>
      <c r="H721" s="1" t="str">
        <f>HYPERLINK("http://apps.fcc.gov/ecfs/document/view?id=7520942145","  (2 pages)")</f>
        <v>  (2 pages)</v>
      </c>
    </row>
    <row r="722" spans="1:8" ht="12.75">
      <c r="A722" t="s">
        <v>6</v>
      </c>
      <c r="B722" t="s">
        <v>702</v>
      </c>
      <c r="D722" t="s">
        <v>701</v>
      </c>
      <c r="E722" t="s">
        <v>685</v>
      </c>
      <c r="F722" t="s">
        <v>10</v>
      </c>
      <c r="G722" t="s">
        <v>11</v>
      </c>
      <c r="H722" s="1" t="str">
        <f>HYPERLINK("http://apps.fcc.gov/ecfs/document/view?id=7520942200","  (1 page)")</f>
        <v>  (1 page)</v>
      </c>
    </row>
    <row r="723" spans="1:8" ht="12.75">
      <c r="A723" t="s">
        <v>6</v>
      </c>
      <c r="B723" t="s">
        <v>703</v>
      </c>
      <c r="D723" t="s">
        <v>701</v>
      </c>
      <c r="E723" t="s">
        <v>685</v>
      </c>
      <c r="F723" t="s">
        <v>10</v>
      </c>
      <c r="G723" t="s">
        <v>11</v>
      </c>
      <c r="H723" s="1" t="str">
        <f>HYPERLINK("http://apps.fcc.gov/ecfs/document/view?id=7520942111","  (1 page)")</f>
        <v>  (1 page)</v>
      </c>
    </row>
    <row r="724" spans="1:8" ht="12.75">
      <c r="A724" t="s">
        <v>6</v>
      </c>
      <c r="B724" t="s">
        <v>704</v>
      </c>
      <c r="D724" t="s">
        <v>701</v>
      </c>
      <c r="E724" t="s">
        <v>685</v>
      </c>
      <c r="F724" t="s">
        <v>10</v>
      </c>
      <c r="G724" t="s">
        <v>11</v>
      </c>
      <c r="H724" s="1" t="str">
        <f>HYPERLINK("http://apps.fcc.gov/ecfs/document/view?id=7520942121","  (1 page)")</f>
        <v>  (1 page)</v>
      </c>
    </row>
    <row r="725" spans="1:8" ht="12.75">
      <c r="A725" t="s">
        <v>6</v>
      </c>
      <c r="B725" t="s">
        <v>705</v>
      </c>
      <c r="D725" t="s">
        <v>685</v>
      </c>
      <c r="E725" t="s">
        <v>685</v>
      </c>
      <c r="F725" t="s">
        <v>10</v>
      </c>
      <c r="G725" t="s">
        <v>11</v>
      </c>
      <c r="H725" s="1" t="str">
        <f>HYPERLINK("http://apps.fcc.gov/ecfs/document/view?id=7520942231","Cullman County School District comment on E Rate NPRM (1 page)")</f>
        <v>Cullman County School District comment on E Rate NPRM (1 page)</v>
      </c>
    </row>
    <row r="726" spans="1:8" ht="12.75">
      <c r="A726" t="s">
        <v>6</v>
      </c>
      <c r="B726" t="s">
        <v>628</v>
      </c>
      <c r="D726" t="s">
        <v>701</v>
      </c>
      <c r="E726" t="s">
        <v>685</v>
      </c>
      <c r="F726" t="s">
        <v>10</v>
      </c>
      <c r="G726" t="s">
        <v>11</v>
      </c>
      <c r="H726" s="1" t="str">
        <f>HYPERLINK("http://apps.fcc.gov/ecfs/document/view?id=7520942163","  (2 pages)")</f>
        <v>  (2 pages)</v>
      </c>
    </row>
    <row r="727" spans="1:9" ht="12.75">
      <c r="A727" t="s">
        <v>6</v>
      </c>
      <c r="B727" t="s">
        <v>706</v>
      </c>
      <c r="D727" t="s">
        <v>707</v>
      </c>
      <c r="E727" t="s">
        <v>701</v>
      </c>
      <c r="F727" t="s">
        <v>10</v>
      </c>
      <c r="G727" t="s">
        <v>11</v>
      </c>
      <c r="H727" s="1" t="str">
        <f>HYPERLINK("http://apps.fcc.gov/ecfs/document/view?id=7520941568","  (2 pages)")</f>
        <v>  (2 pages)</v>
      </c>
      <c r="I727" s="1" t="str">
        <f>HYPERLINK("http://apps.fcc.gov/ecfs/document/view?id=7520941572","  (2 pages)")</f>
        <v>  (2 pages)</v>
      </c>
    </row>
    <row r="728" spans="1:8" ht="12.75">
      <c r="A728" t="s">
        <v>6</v>
      </c>
      <c r="B728" t="s">
        <v>708</v>
      </c>
      <c r="D728" t="s">
        <v>707</v>
      </c>
      <c r="E728" t="s">
        <v>701</v>
      </c>
      <c r="F728" t="s">
        <v>10</v>
      </c>
      <c r="G728" t="s">
        <v>11</v>
      </c>
      <c r="H728" s="1" t="str">
        <f>HYPERLINK("http://apps.fcc.gov/ecfs/document/view?id=7520941677","  (2 pages)")</f>
        <v>  (2 pages)</v>
      </c>
    </row>
    <row r="729" spans="1:8" ht="12.75">
      <c r="A729" t="s">
        <v>6</v>
      </c>
      <c r="B729" t="s">
        <v>709</v>
      </c>
      <c r="D729" t="s">
        <v>707</v>
      </c>
      <c r="E729" t="s">
        <v>701</v>
      </c>
      <c r="F729" t="s">
        <v>10</v>
      </c>
      <c r="G729" t="s">
        <v>11</v>
      </c>
      <c r="H729" s="1" t="str">
        <f>HYPERLINK("http://apps.fcc.gov/ecfs/document/view?id=7520941449","  (2 pages)")</f>
        <v>  (2 pages)</v>
      </c>
    </row>
    <row r="730" spans="1:8" ht="12.75">
      <c r="A730" t="s">
        <v>6</v>
      </c>
      <c r="B730" t="s">
        <v>710</v>
      </c>
      <c r="D730" t="s">
        <v>707</v>
      </c>
      <c r="E730" t="s">
        <v>707</v>
      </c>
      <c r="F730" t="s">
        <v>10</v>
      </c>
      <c r="G730" t="s">
        <v>11</v>
      </c>
      <c r="H730" s="1" t="str">
        <f>HYPERLINK("http://apps.fcc.gov/ecfs/document/view?id=7520941387","  (2 pages)")</f>
        <v>  (2 pages)</v>
      </c>
    </row>
    <row r="731" spans="1:8" ht="12.75">
      <c r="A731" t="s">
        <v>6</v>
      </c>
      <c r="B731" t="s">
        <v>711</v>
      </c>
      <c r="D731" t="s">
        <v>707</v>
      </c>
      <c r="E731" t="s">
        <v>707</v>
      </c>
      <c r="F731" t="s">
        <v>10</v>
      </c>
      <c r="G731" t="s">
        <v>11</v>
      </c>
      <c r="H731" s="1" t="str">
        <f>HYPERLINK("http://apps.fcc.gov/ecfs/document/view?id=7520941365"," (1 page)")</f>
        <v> (1 page)</v>
      </c>
    </row>
    <row r="732" spans="1:8" ht="12.75">
      <c r="A732" t="s">
        <v>6</v>
      </c>
      <c r="B732" t="s">
        <v>712</v>
      </c>
      <c r="C732" t="s">
        <v>713</v>
      </c>
      <c r="D732" t="s">
        <v>707</v>
      </c>
      <c r="E732" t="s">
        <v>707</v>
      </c>
      <c r="F732" t="s">
        <v>10</v>
      </c>
      <c r="G732" t="s">
        <v>11</v>
      </c>
      <c r="H732" s="1" t="str">
        <f>HYPERLINK("http://apps.fcc.gov/ecfs/document/view?id=7520941335","  (1 page)")</f>
        <v>  (1 page)</v>
      </c>
    </row>
    <row r="733" spans="1:8" ht="12.75">
      <c r="A733" t="s">
        <v>6</v>
      </c>
      <c r="B733" t="s">
        <v>714</v>
      </c>
      <c r="D733" t="s">
        <v>707</v>
      </c>
      <c r="E733" t="s">
        <v>707</v>
      </c>
      <c r="F733" t="s">
        <v>10</v>
      </c>
      <c r="G733" t="s">
        <v>11</v>
      </c>
      <c r="H733" s="1" t="str">
        <f>HYPERLINK("http://apps.fcc.gov/ecfs/document/view?id=7520941333","  (2 pages)")</f>
        <v>  (2 pages)</v>
      </c>
    </row>
    <row r="734" spans="1:8" ht="12.75">
      <c r="A734" t="s">
        <v>6</v>
      </c>
      <c r="B734" t="s">
        <v>715</v>
      </c>
      <c r="D734" t="s">
        <v>707</v>
      </c>
      <c r="E734" t="s">
        <v>707</v>
      </c>
      <c r="F734" t="s">
        <v>10</v>
      </c>
      <c r="G734" t="s">
        <v>11</v>
      </c>
      <c r="H734" s="1" t="str">
        <f>HYPERLINK("http://apps.fcc.gov/ecfs/document/view?id=7520941347","  (1 page)")</f>
        <v>  (1 page)</v>
      </c>
    </row>
    <row r="735" spans="1:8" ht="12.75">
      <c r="A735" t="s">
        <v>6</v>
      </c>
      <c r="B735" t="s">
        <v>716</v>
      </c>
      <c r="D735" t="s">
        <v>717</v>
      </c>
      <c r="E735" t="s">
        <v>707</v>
      </c>
      <c r="F735" t="s">
        <v>10</v>
      </c>
      <c r="G735" t="s">
        <v>11</v>
      </c>
      <c r="H735" s="1" t="str">
        <f>HYPERLINK("http://apps.fcc.gov/ecfs/document/view?id=7520940556","  (2 pages)")</f>
        <v>  (2 pages)</v>
      </c>
    </row>
    <row r="736" spans="1:8" ht="12.75">
      <c r="A736" t="s">
        <v>6</v>
      </c>
      <c r="B736" t="s">
        <v>718</v>
      </c>
      <c r="D736" t="s">
        <v>717</v>
      </c>
      <c r="E736" t="s">
        <v>707</v>
      </c>
      <c r="F736" t="s">
        <v>10</v>
      </c>
      <c r="G736" t="s">
        <v>11</v>
      </c>
      <c r="H736" s="1" t="str">
        <f>HYPERLINK("http://apps.fcc.gov/ecfs/document/view?id=7520940509","E Rate letter (1 page)")</f>
        <v>E Rate letter (1 page)</v>
      </c>
    </row>
    <row r="737" spans="1:8" ht="12.75">
      <c r="A737" t="s">
        <v>6</v>
      </c>
      <c r="B737" t="s">
        <v>719</v>
      </c>
      <c r="D737" t="s">
        <v>717</v>
      </c>
      <c r="E737" t="s">
        <v>707</v>
      </c>
      <c r="F737" t="s">
        <v>10</v>
      </c>
      <c r="G737" t="s">
        <v>11</v>
      </c>
      <c r="H737" s="1" t="str">
        <f>HYPERLINK("http://apps.fcc.gov/ecfs/document/view?id=7520940508"," (1 page)")</f>
        <v> (1 page)</v>
      </c>
    </row>
    <row r="738" spans="1:8" ht="12.75">
      <c r="A738" t="s">
        <v>6</v>
      </c>
      <c r="B738" t="s">
        <v>720</v>
      </c>
      <c r="D738" t="s">
        <v>707</v>
      </c>
      <c r="E738" t="s">
        <v>707</v>
      </c>
      <c r="F738" t="s">
        <v>10</v>
      </c>
      <c r="G738" t="s">
        <v>11</v>
      </c>
      <c r="H738" s="1" t="str">
        <f>HYPERLINK("http://apps.fcc.gov/ecfs/document/view?id=7520940933","  (2 pages)")</f>
        <v>  (2 pages)</v>
      </c>
    </row>
    <row r="739" spans="1:8" ht="12.75">
      <c r="A739" t="s">
        <v>6</v>
      </c>
      <c r="B739" t="s">
        <v>721</v>
      </c>
      <c r="D739" t="s">
        <v>717</v>
      </c>
      <c r="E739" t="s">
        <v>707</v>
      </c>
      <c r="F739" t="s">
        <v>10</v>
      </c>
      <c r="G739" t="s">
        <v>11</v>
      </c>
      <c r="H739" s="1" t="str">
        <f>HYPERLINK("http://apps.fcc.gov/ecfs/document/view?id=7520940497","  (1 page)")</f>
        <v>  (1 page)</v>
      </c>
    </row>
    <row r="740" spans="1:8" ht="12.75">
      <c r="A740" t="s">
        <v>6</v>
      </c>
      <c r="B740" t="s">
        <v>722</v>
      </c>
      <c r="D740" t="s">
        <v>717</v>
      </c>
      <c r="E740" t="s">
        <v>717</v>
      </c>
      <c r="F740" t="s">
        <v>10</v>
      </c>
      <c r="G740" t="s">
        <v>11</v>
      </c>
      <c r="H740" s="1" t="str">
        <f>HYPERLINK("http://apps.fcc.gov/ecfs/document/view?id=7520940476","  (4 pages)")</f>
        <v>  (4 pages)</v>
      </c>
    </row>
    <row r="741" spans="1:8" ht="12.75">
      <c r="A741" t="s">
        <v>6</v>
      </c>
      <c r="B741" t="s">
        <v>723</v>
      </c>
      <c r="D741" t="s">
        <v>717</v>
      </c>
      <c r="E741" t="s">
        <v>717</v>
      </c>
      <c r="F741" t="s">
        <v>10</v>
      </c>
      <c r="G741" t="s">
        <v>11</v>
      </c>
      <c r="H741" s="1" t="str">
        <f>HYPERLINK("http://apps.fcc.gov/ecfs/document/view?id=7520940473","  (2 pages)")</f>
        <v>  (2 pages)</v>
      </c>
    </row>
    <row r="742" spans="1:8" ht="12.75">
      <c r="A742" t="s">
        <v>6</v>
      </c>
      <c r="B742" t="s">
        <v>724</v>
      </c>
      <c r="D742" t="s">
        <v>717</v>
      </c>
      <c r="E742" t="s">
        <v>717</v>
      </c>
      <c r="F742" t="s">
        <v>10</v>
      </c>
      <c r="G742" t="s">
        <v>11</v>
      </c>
      <c r="H742" s="1" t="str">
        <f>HYPERLINK("http://apps.fcc.gov/ecfs/document/view?id=7520940451","Erate Program Changes (2 pages)")</f>
        <v>Erate Program Changes (2 pages)</v>
      </c>
    </row>
    <row r="743" spans="1:8" ht="12.75">
      <c r="A743" t="s">
        <v>6</v>
      </c>
      <c r="B743" t="s">
        <v>725</v>
      </c>
      <c r="D743" t="s">
        <v>717</v>
      </c>
      <c r="E743" t="s">
        <v>717</v>
      </c>
      <c r="F743" t="s">
        <v>10</v>
      </c>
      <c r="G743" t="s">
        <v>11</v>
      </c>
      <c r="H743" s="1" t="str">
        <f>HYPERLINK("http://apps.fcc.gov/ecfs/document/view?id=7520940450","  (2 pages)")</f>
        <v>  (2 pages)</v>
      </c>
    </row>
    <row r="744" spans="1:8" ht="12.75">
      <c r="A744" t="s">
        <v>6</v>
      </c>
      <c r="B744" t="s">
        <v>726</v>
      </c>
      <c r="C744" t="s">
        <v>727</v>
      </c>
      <c r="D744" t="s">
        <v>728</v>
      </c>
      <c r="E744" t="s">
        <v>717</v>
      </c>
      <c r="F744" t="s">
        <v>10</v>
      </c>
      <c r="G744" t="s">
        <v>11</v>
      </c>
      <c r="H744" s="1" t="str">
        <f>HYPERLINK("http://apps.fcc.gov/ecfs/document/view?id=7520940400","  (2 pages)")</f>
        <v>  (2 pages)</v>
      </c>
    </row>
    <row r="745" spans="1:8" ht="12.75">
      <c r="A745" t="s">
        <v>6</v>
      </c>
      <c r="B745" t="s">
        <v>729</v>
      </c>
      <c r="D745" t="s">
        <v>717</v>
      </c>
      <c r="E745" t="s">
        <v>717</v>
      </c>
      <c r="F745" t="s">
        <v>10</v>
      </c>
      <c r="G745" t="s">
        <v>11</v>
      </c>
      <c r="H745" s="1" t="str">
        <f>HYPERLINK("http://apps.fcc.gov/ecfs/document/view?id=7520940441","NPRM E Rate (2 pages)")</f>
        <v>NPRM E Rate (2 pages)</v>
      </c>
    </row>
    <row r="746" spans="1:8" ht="12.75">
      <c r="A746" t="s">
        <v>6</v>
      </c>
      <c r="B746" t="s">
        <v>730</v>
      </c>
      <c r="D746" t="s">
        <v>717</v>
      </c>
      <c r="E746" t="s">
        <v>717</v>
      </c>
      <c r="F746" t="s">
        <v>10</v>
      </c>
      <c r="G746" t="s">
        <v>11</v>
      </c>
      <c r="H746" s="1" t="str">
        <f>HYPERLINK("http://apps.fcc.gov/ecfs/document/view?id=7520940438","  (1 page)")</f>
        <v>  (1 page)</v>
      </c>
    </row>
    <row r="747" spans="1:8" ht="12.75">
      <c r="A747" t="s">
        <v>6</v>
      </c>
      <c r="B747" t="s">
        <v>731</v>
      </c>
      <c r="D747" t="s">
        <v>717</v>
      </c>
      <c r="E747" t="s">
        <v>717</v>
      </c>
      <c r="F747" t="s">
        <v>10</v>
      </c>
      <c r="G747" t="s">
        <v>11</v>
      </c>
      <c r="H747" s="1" t="str">
        <f>HYPERLINK("http://apps.fcc.gov/ecfs/document/view?id=7520940444","  (1 page)")</f>
        <v>  (1 page)</v>
      </c>
    </row>
    <row r="748" spans="1:8" ht="12.75">
      <c r="A748" t="s">
        <v>6</v>
      </c>
      <c r="B748" t="s">
        <v>732</v>
      </c>
      <c r="D748" t="s">
        <v>728</v>
      </c>
      <c r="E748" t="s">
        <v>717</v>
      </c>
      <c r="F748" t="s">
        <v>10</v>
      </c>
      <c r="G748" t="s">
        <v>11</v>
      </c>
      <c r="H748" s="1" t="str">
        <f>HYPERLINK("http://apps.fcc.gov/ecfs/document/view?id=7520940391","  (2 pages)")</f>
        <v>  (2 pages)</v>
      </c>
    </row>
    <row r="749" spans="1:8" ht="12.75">
      <c r="A749" t="s">
        <v>6</v>
      </c>
      <c r="B749" t="s">
        <v>91</v>
      </c>
      <c r="D749" t="s">
        <v>728</v>
      </c>
      <c r="E749" t="s">
        <v>728</v>
      </c>
      <c r="F749" t="s">
        <v>341</v>
      </c>
      <c r="G749" t="s">
        <v>342</v>
      </c>
      <c r="H749" s="1" t="str">
        <f>HYPERLINK("http://apps.fcc.gov/ecfs/document/view?id=7520940374","WC Docket 13 184 (1 page)")</f>
        <v>WC Docket 13 184 (1 page)</v>
      </c>
    </row>
    <row r="750" spans="1:8" ht="12.75">
      <c r="A750" t="s">
        <v>6</v>
      </c>
      <c r="B750" t="s">
        <v>733</v>
      </c>
      <c r="D750" t="s">
        <v>728</v>
      </c>
      <c r="E750" t="s">
        <v>728</v>
      </c>
      <c r="F750" t="s">
        <v>10</v>
      </c>
      <c r="G750" t="s">
        <v>11</v>
      </c>
      <c r="H750" s="1" t="str">
        <f>HYPERLINK("http://apps.fcc.gov/ecfs/document/view?id=7520940361","  (2 pages)")</f>
        <v>  (2 pages)</v>
      </c>
    </row>
    <row r="751" spans="1:8" ht="12.75">
      <c r="A751" t="s">
        <v>6</v>
      </c>
      <c r="B751" t="s">
        <v>734</v>
      </c>
      <c r="D751" t="s">
        <v>728</v>
      </c>
      <c r="E751" t="s">
        <v>728</v>
      </c>
      <c r="F751" t="s">
        <v>10</v>
      </c>
      <c r="G751" t="s">
        <v>11</v>
      </c>
      <c r="H751" s="1" t="str">
        <f>HYPERLINK("http://apps.fcc.gov/ecfs/document/view?id=7520940300","  (1 page)")</f>
        <v>  (1 page)</v>
      </c>
    </row>
    <row r="752" spans="1:8" ht="12.75">
      <c r="A752" t="s">
        <v>6</v>
      </c>
      <c r="B752" t="s">
        <v>735</v>
      </c>
      <c r="D752" t="s">
        <v>728</v>
      </c>
      <c r="E752" t="s">
        <v>728</v>
      </c>
      <c r="F752" t="s">
        <v>10</v>
      </c>
      <c r="G752" t="s">
        <v>11</v>
      </c>
      <c r="H752" s="1" t="str">
        <f>HYPERLINK("http://apps.fcc.gov/ecfs/document/view?id=7520940292","survey response (1 page)")</f>
        <v>survey response (1 page)</v>
      </c>
    </row>
    <row r="753" spans="1:8" ht="12.75">
      <c r="A753" t="s">
        <v>6</v>
      </c>
      <c r="B753" t="s">
        <v>736</v>
      </c>
      <c r="D753" t="s">
        <v>728</v>
      </c>
      <c r="E753" t="s">
        <v>728</v>
      </c>
      <c r="F753" t="s">
        <v>10</v>
      </c>
      <c r="G753" t="s">
        <v>11</v>
      </c>
      <c r="H753" s="1" t="str">
        <f>HYPERLINK("http://apps.fcc.gov/ecfs/document/view?id=7520940297","  (2 pages)")</f>
        <v>  (2 pages)</v>
      </c>
    </row>
    <row r="754" spans="1:8" ht="12.75">
      <c r="A754" t="s">
        <v>6</v>
      </c>
      <c r="B754" t="s">
        <v>737</v>
      </c>
      <c r="D754" t="s">
        <v>738</v>
      </c>
      <c r="E754" t="s">
        <v>728</v>
      </c>
      <c r="F754" t="s">
        <v>341</v>
      </c>
      <c r="G754" t="s">
        <v>342</v>
      </c>
      <c r="H754" s="1" t="str">
        <f>HYPERLINK("http://apps.fcc.gov/ecfs/document/view?id=7520940239","Talking Points of discussion with Nicolas Degani (7 pages)")</f>
        <v>Talking Points of discussion with Nicolas Degani (7 pages)</v>
      </c>
    </row>
    <row r="755" spans="1:8" ht="12.75">
      <c r="A755" t="s">
        <v>6</v>
      </c>
      <c r="B755" t="s">
        <v>739</v>
      </c>
      <c r="D755" t="s">
        <v>738</v>
      </c>
      <c r="E755" t="s">
        <v>738</v>
      </c>
      <c r="F755" t="s">
        <v>10</v>
      </c>
      <c r="G755" t="s">
        <v>11</v>
      </c>
      <c r="H755" s="1" t="str">
        <f>HYPERLINK("http://apps.fcc.gov/ecfs/document/view?id=7520940191","  (2 pages)")</f>
        <v>  (2 pages)</v>
      </c>
    </row>
    <row r="756" spans="1:9" ht="12.75">
      <c r="A756" t="s">
        <v>6</v>
      </c>
      <c r="B756" t="s">
        <v>740</v>
      </c>
      <c r="D756" t="s">
        <v>738</v>
      </c>
      <c r="E756" t="s">
        <v>738</v>
      </c>
      <c r="F756" t="s">
        <v>10</v>
      </c>
      <c r="G756" t="s">
        <v>11</v>
      </c>
      <c r="H756" s="1" t="str">
        <f>HYPERLINK("http://apps.fcc.gov/ecfs/document/view?id=7520940229","e rate (2 pages)")</f>
        <v>e rate (2 pages)</v>
      </c>
      <c r="I756" s="1" t="str">
        <f>HYPERLINK("http://apps.fcc.gov/ecfs/document/view?id=7520940231","  (2 pages)")</f>
        <v>  (2 pages)</v>
      </c>
    </row>
    <row r="757" spans="1:8" ht="12.75">
      <c r="A757" t="s">
        <v>6</v>
      </c>
      <c r="B757" t="s">
        <v>741</v>
      </c>
      <c r="C757" t="s">
        <v>742</v>
      </c>
      <c r="D757" t="s">
        <v>738</v>
      </c>
      <c r="E757" t="s">
        <v>738</v>
      </c>
      <c r="F757" t="s">
        <v>10</v>
      </c>
      <c r="G757" t="s">
        <v>11</v>
      </c>
      <c r="H757" s="1" t="str">
        <f>HYPERLINK("http://apps.fcc.gov/ecfs/document/view?id=7520940213","  (2 pages)")</f>
        <v>  (2 pages)</v>
      </c>
    </row>
    <row r="758" spans="1:9" ht="12.75">
      <c r="A758" t="s">
        <v>6</v>
      </c>
      <c r="B758" t="s">
        <v>743</v>
      </c>
      <c r="D758" t="s">
        <v>738</v>
      </c>
      <c r="E758" t="s">
        <v>738</v>
      </c>
      <c r="F758" t="s">
        <v>10</v>
      </c>
      <c r="G758" t="s">
        <v>11</v>
      </c>
      <c r="H758" s="1" t="str">
        <f>HYPERLINK("http://apps.fcc.gov/ecfs/document/view?id=7520940203","  (2 pages)")</f>
        <v>  (2 pages)</v>
      </c>
      <c r="I758" s="1" t="str">
        <f>HYPERLINK("http://apps.fcc.gov/ecfs/document/view?id=7520940204","  (2 pages)")</f>
        <v>  (2 pages)</v>
      </c>
    </row>
    <row r="759" spans="1:8" ht="12.75">
      <c r="A759" t="s">
        <v>6</v>
      </c>
      <c r="B759" t="s">
        <v>531</v>
      </c>
      <c r="D759" t="s">
        <v>738</v>
      </c>
      <c r="E759" t="s">
        <v>738</v>
      </c>
      <c r="F759" t="s">
        <v>10</v>
      </c>
      <c r="G759" t="s">
        <v>11</v>
      </c>
      <c r="H759" s="1" t="str">
        <f>HYPERLINK("http://apps.fcc.gov/ecfs/document/view?id=7520940165","  (1 page)")</f>
        <v>  (1 page)</v>
      </c>
    </row>
    <row r="760" spans="1:8" ht="12.75">
      <c r="A760" t="s">
        <v>6</v>
      </c>
      <c r="B760" t="s">
        <v>744</v>
      </c>
      <c r="D760" t="s">
        <v>738</v>
      </c>
      <c r="E760" t="s">
        <v>738</v>
      </c>
      <c r="F760" t="s">
        <v>10</v>
      </c>
      <c r="G760" t="s">
        <v>11</v>
      </c>
      <c r="H760" s="1" t="str">
        <f>HYPERLINK("http://apps.fcc.gov/ecfs/document/view?id=7520940206","  (2 pages)")</f>
        <v>  (2 pages)</v>
      </c>
    </row>
    <row r="761" spans="1:8" ht="12.75">
      <c r="A761" t="s">
        <v>6</v>
      </c>
      <c r="B761" t="s">
        <v>745</v>
      </c>
      <c r="D761" t="s">
        <v>738</v>
      </c>
      <c r="E761" t="s">
        <v>738</v>
      </c>
      <c r="F761" t="s">
        <v>10</v>
      </c>
      <c r="G761" t="s">
        <v>11</v>
      </c>
      <c r="H761" s="1" t="str">
        <f>HYPERLINK("http://apps.fcc.gov/ecfs/document/view?id=7520940215"," (1 page)")</f>
        <v> (1 page)</v>
      </c>
    </row>
    <row r="762" spans="1:8" ht="12.75">
      <c r="A762" t="s">
        <v>6</v>
      </c>
      <c r="B762" t="s">
        <v>746</v>
      </c>
      <c r="D762" t="s">
        <v>738</v>
      </c>
      <c r="E762" t="s">
        <v>738</v>
      </c>
      <c r="F762" t="s">
        <v>10</v>
      </c>
      <c r="G762" t="s">
        <v>11</v>
      </c>
      <c r="H762" s="1" t="str">
        <f>HYPERLINK("http://apps.fcc.gov/ecfs/document/view?id=7520940235","  (1 page)")</f>
        <v>  (1 page)</v>
      </c>
    </row>
    <row r="763" spans="1:8" ht="12.75">
      <c r="A763" t="s">
        <v>6</v>
      </c>
      <c r="B763" t="s">
        <v>747</v>
      </c>
      <c r="D763" t="s">
        <v>738</v>
      </c>
      <c r="E763" t="s">
        <v>738</v>
      </c>
      <c r="F763" t="s">
        <v>10</v>
      </c>
      <c r="G763" t="s">
        <v>180</v>
      </c>
      <c r="H763" s="1" t="str">
        <f>HYPERLINK("http://apps.fcc.gov/ecfs/document/view?id=7520940188","E Rate Support Letter (2 pages)")</f>
        <v>E Rate Support Letter (2 pages)</v>
      </c>
    </row>
    <row r="764" spans="1:8" ht="12.75">
      <c r="A764" t="s">
        <v>6</v>
      </c>
      <c r="B764" t="s">
        <v>748</v>
      </c>
      <c r="D764" t="s">
        <v>738</v>
      </c>
      <c r="E764" t="s">
        <v>738</v>
      </c>
      <c r="F764" t="s">
        <v>10</v>
      </c>
      <c r="G764" t="s">
        <v>11</v>
      </c>
      <c r="H764" s="1" t="str">
        <f>HYPERLINK("http://apps.fcc.gov/ecfs/document/view?id=7520940155","  (2 pages)")</f>
        <v>  (2 pages)</v>
      </c>
    </row>
    <row r="765" spans="1:8" ht="12.75">
      <c r="A765" t="s">
        <v>6</v>
      </c>
      <c r="B765" t="s">
        <v>749</v>
      </c>
      <c r="D765" t="s">
        <v>750</v>
      </c>
      <c r="E765" t="s">
        <v>738</v>
      </c>
      <c r="F765" t="s">
        <v>10</v>
      </c>
      <c r="G765" t="s">
        <v>11</v>
      </c>
      <c r="H765" s="1" t="str">
        <f>HYPERLINK("http://apps.fcc.gov/ecfs/document/view?id=7520940107"," (2 pages)")</f>
        <v> (2 pages)</v>
      </c>
    </row>
    <row r="766" spans="1:8" ht="12.75">
      <c r="A766" t="s">
        <v>6</v>
      </c>
      <c r="B766" t="s">
        <v>751</v>
      </c>
      <c r="D766" t="s">
        <v>750</v>
      </c>
      <c r="E766" t="s">
        <v>738</v>
      </c>
      <c r="F766" t="s">
        <v>10</v>
      </c>
      <c r="G766" t="s">
        <v>11</v>
      </c>
      <c r="H766" s="1" t="str">
        <f>HYPERLINK("http://apps.fcc.gov/ecfs/document/view?id=7520940133"," (1 page)")</f>
        <v> (1 page)</v>
      </c>
    </row>
    <row r="767" spans="1:8" ht="12.75">
      <c r="A767" t="s">
        <v>6</v>
      </c>
      <c r="B767" t="s">
        <v>752</v>
      </c>
      <c r="D767" t="s">
        <v>750</v>
      </c>
      <c r="E767" t="s">
        <v>750</v>
      </c>
      <c r="F767" t="s">
        <v>10</v>
      </c>
      <c r="G767" t="s">
        <v>11</v>
      </c>
      <c r="H767" s="1" t="str">
        <f>HYPERLINK("http://apps.fcc.gov/ecfs/document/view?id=7520940070","  (1 page)")</f>
        <v>  (1 page)</v>
      </c>
    </row>
    <row r="768" spans="1:8" ht="12.75">
      <c r="A768" t="s">
        <v>6</v>
      </c>
      <c r="B768" t="s">
        <v>753</v>
      </c>
      <c r="D768" t="s">
        <v>750</v>
      </c>
      <c r="E768" t="s">
        <v>750</v>
      </c>
      <c r="F768" t="s">
        <v>10</v>
      </c>
      <c r="G768" t="s">
        <v>11</v>
      </c>
      <c r="H768" s="1" t="str">
        <f>HYPERLINK("http://apps.fcc.gov/ecfs/document/view?id=7520940045","AASA NPRM Comments (4 pages)")</f>
        <v>AASA NPRM Comments (4 pages)</v>
      </c>
    </row>
    <row r="769" spans="1:8" ht="12.75">
      <c r="A769" t="s">
        <v>6</v>
      </c>
      <c r="B769" t="s">
        <v>754</v>
      </c>
      <c r="D769" t="s">
        <v>755</v>
      </c>
      <c r="E769" t="s">
        <v>750</v>
      </c>
      <c r="F769" t="s">
        <v>10</v>
      </c>
      <c r="G769" t="s">
        <v>11</v>
      </c>
      <c r="H769" s="1" t="str">
        <f>HYPERLINK("http://apps.fcc.gov/ecfs/document/view?id=7520939931"," (1 page)")</f>
        <v> (1 page)</v>
      </c>
    </row>
    <row r="770" spans="1:8" ht="12.75">
      <c r="A770" t="s">
        <v>6</v>
      </c>
      <c r="B770" t="s">
        <v>756</v>
      </c>
      <c r="D770" t="s">
        <v>755</v>
      </c>
      <c r="E770" t="s">
        <v>755</v>
      </c>
      <c r="F770" t="s">
        <v>10</v>
      </c>
      <c r="G770" t="s">
        <v>11</v>
      </c>
      <c r="H770" s="1" t="str">
        <f>HYPERLINK("http://apps.fcc.gov/ecfs/document/view?id=7520939842"," (1 page)")</f>
        <v> (1 page)</v>
      </c>
    </row>
    <row r="771" spans="1:8" ht="12.75">
      <c r="A771" t="s">
        <v>6</v>
      </c>
      <c r="B771" t="s">
        <v>757</v>
      </c>
      <c r="D771" t="s">
        <v>755</v>
      </c>
      <c r="E771" t="s">
        <v>755</v>
      </c>
      <c r="F771" t="s">
        <v>10</v>
      </c>
      <c r="G771" t="s">
        <v>11</v>
      </c>
      <c r="H771" s="1" t="str">
        <f>HYPERLINK("http://apps.fcc.gov/ecfs/document/view?id=7520939825"," (1 page)")</f>
        <v> (1 page)</v>
      </c>
    </row>
    <row r="772" spans="1:8" ht="12.75">
      <c r="A772" t="s">
        <v>6</v>
      </c>
      <c r="B772" t="s">
        <v>758</v>
      </c>
      <c r="D772" t="s">
        <v>759</v>
      </c>
      <c r="E772" t="s">
        <v>759</v>
      </c>
      <c r="F772" t="s">
        <v>10</v>
      </c>
      <c r="G772" t="s">
        <v>11</v>
      </c>
      <c r="H772" s="1" t="str">
        <f>HYPERLINK("http://apps.fcc.gov/ecfs/document/view?id=7520939607"," (1 page)")</f>
        <v> (1 page)</v>
      </c>
    </row>
    <row r="773" spans="1:8" ht="12.75">
      <c r="A773" t="s">
        <v>6</v>
      </c>
      <c r="B773" t="s">
        <v>760</v>
      </c>
      <c r="D773" t="s">
        <v>761</v>
      </c>
      <c r="E773" t="s">
        <v>759</v>
      </c>
      <c r="F773" t="s">
        <v>341</v>
      </c>
      <c r="G773" t="s">
        <v>342</v>
      </c>
      <c r="H773" s="1" t="str">
        <f>HYPERLINK("http://apps.fcc.gov/ecfs/document/view?id=7520939603","  (2 pages)")</f>
        <v>  (2 pages)</v>
      </c>
    </row>
    <row r="774" spans="1:8" ht="12.75">
      <c r="A774" t="s">
        <v>6</v>
      </c>
      <c r="B774" t="s">
        <v>762</v>
      </c>
      <c r="D774" t="s">
        <v>761</v>
      </c>
      <c r="E774" t="s">
        <v>761</v>
      </c>
      <c r="F774" t="s">
        <v>10</v>
      </c>
      <c r="G774" t="s">
        <v>11</v>
      </c>
      <c r="H774" s="1" t="str">
        <f>HYPERLINK("http://apps.fcc.gov/ecfs/document/view?id=7520939509","  (4 pages)")</f>
        <v>  (4 pages)</v>
      </c>
    </row>
    <row r="775" spans="1:8" ht="12.75">
      <c r="A775" t="s">
        <v>6</v>
      </c>
      <c r="B775" t="s">
        <v>763</v>
      </c>
      <c r="D775" t="s">
        <v>764</v>
      </c>
      <c r="E775" t="s">
        <v>765</v>
      </c>
      <c r="F775" t="s">
        <v>10</v>
      </c>
      <c r="G775" t="s">
        <v>11</v>
      </c>
      <c r="H775" s="1" t="str">
        <f>HYPERLINK("http://apps.fcc.gov/ecfs/document/view?id=7520939158"," (1 page)")</f>
        <v> (1 page)</v>
      </c>
    </row>
    <row r="776" spans="1:8" ht="12.75">
      <c r="A776" t="s">
        <v>6</v>
      </c>
      <c r="B776" t="s">
        <v>766</v>
      </c>
      <c r="D776" t="s">
        <v>764</v>
      </c>
      <c r="E776" t="s">
        <v>764</v>
      </c>
      <c r="F776" t="s">
        <v>10</v>
      </c>
      <c r="G776" t="s">
        <v>11</v>
      </c>
      <c r="H776" s="1" t="str">
        <f>HYPERLINK("http://apps.fcc.gov/ecfs/document/view?id=7520938848"," (1 page)")</f>
        <v> (1 page)</v>
      </c>
    </row>
    <row r="777" spans="1:8" ht="12.75">
      <c r="A777" t="s">
        <v>6</v>
      </c>
      <c r="B777" t="s">
        <v>767</v>
      </c>
      <c r="D777" t="s">
        <v>768</v>
      </c>
      <c r="E777" t="s">
        <v>764</v>
      </c>
      <c r="F777" t="s">
        <v>10</v>
      </c>
      <c r="G777" t="s">
        <v>11</v>
      </c>
      <c r="H777" s="1" t="str">
        <f>HYPERLINK("http://apps.fcc.gov/ecfs/document/view?id=7520938769"," (1 page)")</f>
        <v> (1 page)</v>
      </c>
    </row>
    <row r="778" spans="1:8" ht="12.75">
      <c r="A778" t="s">
        <v>6</v>
      </c>
      <c r="B778" t="s">
        <v>769</v>
      </c>
      <c r="D778" t="s">
        <v>770</v>
      </c>
      <c r="E778" t="s">
        <v>768</v>
      </c>
      <c r="F778" t="s">
        <v>10</v>
      </c>
      <c r="G778" t="s">
        <v>11</v>
      </c>
      <c r="H778" s="1" t="str">
        <f>HYPERLINK("http://apps.fcc.gov/ecfs/document/view?id=7520938412"," (1 page)")</f>
        <v> (1 page)</v>
      </c>
    </row>
    <row r="779" spans="1:8" ht="12.75">
      <c r="A779" t="s">
        <v>6</v>
      </c>
      <c r="B779" t="s">
        <v>771</v>
      </c>
      <c r="D779" t="s">
        <v>770</v>
      </c>
      <c r="E779" t="s">
        <v>768</v>
      </c>
      <c r="F779" t="s">
        <v>10</v>
      </c>
      <c r="G779" t="s">
        <v>11</v>
      </c>
      <c r="H779" s="1" t="str">
        <f>HYPERLINK("http://apps.fcc.gov/ecfs/document/view?id=7520938107"," (1 page)")</f>
        <v> (1 page)</v>
      </c>
    </row>
    <row r="780" spans="1:8" ht="12.75">
      <c r="A780" t="s">
        <v>6</v>
      </c>
      <c r="B780" t="s">
        <v>772</v>
      </c>
      <c r="D780" t="s">
        <v>768</v>
      </c>
      <c r="E780" t="s">
        <v>768</v>
      </c>
      <c r="F780" t="s">
        <v>10</v>
      </c>
      <c r="G780" t="s">
        <v>11</v>
      </c>
      <c r="H780" s="1" t="str">
        <f>HYPERLINK("http://apps.fcc.gov/ecfs/document/view?id=7520938513"," (1 page)")</f>
        <v> (1 page)</v>
      </c>
    </row>
    <row r="781" spans="1:8" ht="12.75">
      <c r="A781" t="s">
        <v>6</v>
      </c>
      <c r="B781" t="s">
        <v>773</v>
      </c>
      <c r="D781" t="s">
        <v>770</v>
      </c>
      <c r="E781" t="s">
        <v>768</v>
      </c>
      <c r="F781" t="s">
        <v>10</v>
      </c>
      <c r="G781" t="s">
        <v>11</v>
      </c>
      <c r="H781" s="1" t="str">
        <f>HYPERLINK("http://apps.fcc.gov/ecfs/document/view?id=7520938122"," (1 page)")</f>
        <v> (1 page)</v>
      </c>
    </row>
    <row r="782" spans="1:8" ht="12.75">
      <c r="A782" t="s">
        <v>6</v>
      </c>
      <c r="B782" t="s">
        <v>774</v>
      </c>
      <c r="C782" t="s">
        <v>775</v>
      </c>
      <c r="D782" t="s">
        <v>770</v>
      </c>
      <c r="E782" t="s">
        <v>768</v>
      </c>
      <c r="F782" t="s">
        <v>341</v>
      </c>
      <c r="G782" t="s">
        <v>342</v>
      </c>
      <c r="H782" s="1" t="str">
        <f>HYPERLINK("http://apps.fcc.gov/ecfs/document/view?id=7520938391","Notification of Ex Parte Presentation Commission Staff (19 pages)")</f>
        <v>Notification of Ex Parte Presentation Commission Staff (19 pages)</v>
      </c>
    </row>
    <row r="783" spans="1:8" ht="12.75">
      <c r="A783" t="s">
        <v>6</v>
      </c>
      <c r="B783" t="s">
        <v>774</v>
      </c>
      <c r="C783" t="s">
        <v>775</v>
      </c>
      <c r="D783" t="s">
        <v>770</v>
      </c>
      <c r="E783" t="s">
        <v>768</v>
      </c>
      <c r="F783" t="s">
        <v>341</v>
      </c>
      <c r="G783" t="s">
        <v>342</v>
      </c>
      <c r="H783" s="1" t="str">
        <f>HYPERLINK("http://apps.fcc.gov/ecfs/document/view?id=7520938387","Notification of Ex Parte Presentation Office of Commissioner Rosenworcel (19 pages)")</f>
        <v>Notification of Ex Parte Presentation Office of Commissioner Rosenworcel (19 pages)</v>
      </c>
    </row>
    <row r="784" spans="1:8" ht="12.75">
      <c r="A784" t="s">
        <v>6</v>
      </c>
      <c r="B784" t="s">
        <v>774</v>
      </c>
      <c r="C784" t="s">
        <v>775</v>
      </c>
      <c r="D784" t="s">
        <v>770</v>
      </c>
      <c r="E784" t="s">
        <v>768</v>
      </c>
      <c r="F784" t="s">
        <v>341</v>
      </c>
      <c r="G784" t="s">
        <v>342</v>
      </c>
      <c r="H784" s="1" t="str">
        <f>HYPERLINK("http://apps.fcc.gov/ecfs/document/view?id=7520938378","Notification of Ex Parte Presentation Office of Commissioner Pai (19 pages)")</f>
        <v>Notification of Ex Parte Presentation Office of Commissioner Pai (19 pages)</v>
      </c>
    </row>
    <row r="785" spans="1:8" ht="12.75">
      <c r="A785" t="s">
        <v>6</v>
      </c>
      <c r="B785" t="s">
        <v>776</v>
      </c>
      <c r="D785" t="s">
        <v>770</v>
      </c>
      <c r="E785" t="s">
        <v>768</v>
      </c>
      <c r="F785" t="s">
        <v>10</v>
      </c>
      <c r="G785" t="s">
        <v>11</v>
      </c>
      <c r="H785" s="1" t="str">
        <f>HYPERLINK("http://apps.fcc.gov/ecfs/document/view?id=7520938192"," (1 page)")</f>
        <v> (1 page)</v>
      </c>
    </row>
    <row r="786" spans="1:8" ht="12.75">
      <c r="A786" t="s">
        <v>6</v>
      </c>
      <c r="B786" t="s">
        <v>777</v>
      </c>
      <c r="D786" t="s">
        <v>770</v>
      </c>
      <c r="E786" t="s">
        <v>768</v>
      </c>
      <c r="F786" t="s">
        <v>10</v>
      </c>
      <c r="G786" t="s">
        <v>11</v>
      </c>
      <c r="H786" s="1" t="str">
        <f>HYPERLINK("http://apps.fcc.gov/ecfs/document/view?id=7520938405"," (1 page)")</f>
        <v> (1 page)</v>
      </c>
    </row>
    <row r="787" spans="1:8" ht="12.75">
      <c r="A787" t="s">
        <v>6</v>
      </c>
      <c r="B787" t="s">
        <v>778</v>
      </c>
      <c r="D787" t="s">
        <v>770</v>
      </c>
      <c r="E787" t="s">
        <v>768</v>
      </c>
      <c r="F787" t="s">
        <v>10</v>
      </c>
      <c r="G787" t="s">
        <v>11</v>
      </c>
      <c r="H787" s="1" t="str">
        <f>HYPERLINK("http://apps.fcc.gov/ecfs/document/view?id=7520938278"," (1 page)")</f>
        <v> (1 page)</v>
      </c>
    </row>
    <row r="788" spans="1:8" ht="12.75">
      <c r="A788" t="s">
        <v>6</v>
      </c>
      <c r="B788" t="s">
        <v>779</v>
      </c>
      <c r="D788" t="s">
        <v>770</v>
      </c>
      <c r="E788" t="s">
        <v>768</v>
      </c>
      <c r="F788" t="s">
        <v>10</v>
      </c>
      <c r="G788" t="s">
        <v>11</v>
      </c>
      <c r="H788" s="1" t="str">
        <f>HYPERLINK("http://apps.fcc.gov/ecfs/document/view?id=7520938382","  (3 pages)")</f>
        <v>  (3 pages)</v>
      </c>
    </row>
    <row r="789" spans="1:8" ht="12.75">
      <c r="A789" t="s">
        <v>6</v>
      </c>
      <c r="B789" t="s">
        <v>780</v>
      </c>
      <c r="D789" t="s">
        <v>770</v>
      </c>
      <c r="E789" t="s">
        <v>768</v>
      </c>
      <c r="F789" t="s">
        <v>10</v>
      </c>
      <c r="G789" t="s">
        <v>11</v>
      </c>
      <c r="H789" s="1" t="str">
        <f>HYPERLINK("http://apps.fcc.gov/ecfs/document/view?id=7520938098"," (1 page)")</f>
        <v> (1 page)</v>
      </c>
    </row>
    <row r="790" spans="1:8" ht="12.75">
      <c r="A790" t="s">
        <v>6</v>
      </c>
      <c r="B790" t="s">
        <v>781</v>
      </c>
      <c r="D790" t="s">
        <v>768</v>
      </c>
      <c r="E790" t="s">
        <v>768</v>
      </c>
      <c r="F790" t="s">
        <v>10</v>
      </c>
      <c r="G790" t="s">
        <v>11</v>
      </c>
      <c r="H790" s="1" t="str">
        <f>HYPERLINK("http://apps.fcc.gov/ecfs/document/view?id=7520938521"," (1 page)")</f>
        <v> (1 page)</v>
      </c>
    </row>
    <row r="791" spans="1:8" ht="12.75">
      <c r="A791" t="s">
        <v>6</v>
      </c>
      <c r="B791" t="s">
        <v>782</v>
      </c>
      <c r="D791" t="s">
        <v>770</v>
      </c>
      <c r="E791" t="s">
        <v>770</v>
      </c>
      <c r="F791" t="s">
        <v>341</v>
      </c>
      <c r="G791" t="s">
        <v>342</v>
      </c>
      <c r="H791" s="1" t="str">
        <f>HYPERLINK("http://apps.fcc.gov/ecfs/document/view?id=7520938303","  (3 pages)")</f>
        <v>  (3 pages)</v>
      </c>
    </row>
    <row r="792" spans="1:8" ht="12.75">
      <c r="A792" t="s">
        <v>6</v>
      </c>
      <c r="B792" t="s">
        <v>212</v>
      </c>
      <c r="D792" t="s">
        <v>783</v>
      </c>
      <c r="E792" t="s">
        <v>783</v>
      </c>
      <c r="F792" t="s">
        <v>341</v>
      </c>
      <c r="G792" t="s">
        <v>342</v>
      </c>
      <c r="H792" s="1" t="str">
        <f>HYPERLINK("http://apps.fcc.gov/ecfs/document/view?id=7520937136","  (1 page)")</f>
        <v>  (1 page)</v>
      </c>
    </row>
    <row r="793" spans="1:8" ht="12.75">
      <c r="A793" t="s">
        <v>6</v>
      </c>
      <c r="B793" t="s">
        <v>782</v>
      </c>
      <c r="D793" t="s">
        <v>783</v>
      </c>
      <c r="E793" t="s">
        <v>783</v>
      </c>
      <c r="F793" t="s">
        <v>341</v>
      </c>
      <c r="G793" t="s">
        <v>342</v>
      </c>
      <c r="H793" s="1" t="str">
        <f>HYPERLINK("http://apps.fcc.gov/ecfs/document/view?id=7520937100","  (3 pages)")</f>
        <v>  (3 pages)</v>
      </c>
    </row>
    <row r="794" spans="1:10" ht="12.75">
      <c r="A794" t="s">
        <v>6</v>
      </c>
      <c r="B794" t="s">
        <v>218</v>
      </c>
      <c r="C794" t="s">
        <v>219</v>
      </c>
      <c r="D794" t="s">
        <v>784</v>
      </c>
      <c r="E794" t="s">
        <v>784</v>
      </c>
      <c r="F794" t="s">
        <v>341</v>
      </c>
      <c r="G794" t="s">
        <v>342</v>
      </c>
      <c r="H794" s="1" t="str">
        <f>HYPERLINK("http://apps.fcc.gov/ecfs/document/view?id=7520937025","  (1 page)")</f>
        <v>  (1 page)</v>
      </c>
      <c r="I794" s="1" t="str">
        <f>HYPERLINK("http://apps.fcc.gov/ecfs/document/view?id=7520937026","  (1 page)")</f>
        <v>  (1 page)</v>
      </c>
      <c r="J794" s="1" t="str">
        <f>HYPERLINK("http://apps.fcc.gov/ecfs/document/view?id=7520937027","  (1 page)")</f>
        <v>  (1 page)</v>
      </c>
    </row>
    <row r="795" spans="1:9" ht="12.75">
      <c r="A795" t="s">
        <v>6</v>
      </c>
      <c r="B795" t="s">
        <v>785</v>
      </c>
      <c r="D795" t="s">
        <v>786</v>
      </c>
      <c r="E795" t="s">
        <v>784</v>
      </c>
      <c r="F795" t="s">
        <v>341</v>
      </c>
      <c r="G795" t="s">
        <v>342</v>
      </c>
      <c r="H795" s="1" t="str">
        <f>HYPERLINK("http://apps.fcc.gov/ecfs/document/view?id=7520936692","  (2 pages)")</f>
        <v>  (2 pages)</v>
      </c>
      <c r="I795" s="1" t="str">
        <f>HYPERLINK("http://apps.fcc.gov/ecfs/document/view?id=7520936694","  (2 pages)")</f>
        <v>  (2 pages)</v>
      </c>
    </row>
    <row r="796" spans="1:8" ht="12.75">
      <c r="A796" t="s">
        <v>6</v>
      </c>
      <c r="B796" t="s">
        <v>787</v>
      </c>
      <c r="D796" t="s">
        <v>788</v>
      </c>
      <c r="E796" t="s">
        <v>786</v>
      </c>
      <c r="F796" t="s">
        <v>341</v>
      </c>
      <c r="G796" t="s">
        <v>342</v>
      </c>
      <c r="H796" s="1" t="str">
        <f>HYPERLINK("http://apps.fcc.gov/ecfs/document/view?id=7520936442","  (1 page)")</f>
        <v>  (1 page)</v>
      </c>
    </row>
    <row r="797" spans="1:8" ht="12.75">
      <c r="A797" t="s">
        <v>6</v>
      </c>
      <c r="B797" t="s">
        <v>789</v>
      </c>
      <c r="D797" t="s">
        <v>790</v>
      </c>
      <c r="E797" t="s">
        <v>791</v>
      </c>
      <c r="F797" t="s">
        <v>341</v>
      </c>
      <c r="G797" t="s">
        <v>342</v>
      </c>
      <c r="H797" s="1" t="str">
        <f>HYPERLINK("http://apps.fcc.gov/ecfs/document/view?id=7520935865","  (2 pages)")</f>
        <v>  (2 pages)</v>
      </c>
    </row>
    <row r="798" spans="1:9" ht="12.75">
      <c r="A798" t="s">
        <v>6</v>
      </c>
      <c r="B798" t="s">
        <v>177</v>
      </c>
      <c r="D798" t="s">
        <v>792</v>
      </c>
      <c r="E798" t="s">
        <v>790</v>
      </c>
      <c r="F798" t="s">
        <v>341</v>
      </c>
      <c r="G798" t="s">
        <v>342</v>
      </c>
      <c r="H798" s="1" t="str">
        <f>HYPERLINK("http://apps.fcc.gov/ecfs/document/view?id=7520935220","  (2 pages)")</f>
        <v>  (2 pages)</v>
      </c>
      <c r="I798" s="1" t="str">
        <f>HYPERLINK("http://apps.fcc.gov/ecfs/document/view?id=7520935221","  (11 pages)")</f>
        <v>  (11 pages)</v>
      </c>
    </row>
    <row r="799" spans="1:8" ht="12.75">
      <c r="A799" t="s">
        <v>6</v>
      </c>
      <c r="B799" t="s">
        <v>793</v>
      </c>
      <c r="C799" t="s">
        <v>794</v>
      </c>
      <c r="D799" t="s">
        <v>792</v>
      </c>
      <c r="E799" t="s">
        <v>792</v>
      </c>
      <c r="F799" t="s">
        <v>341</v>
      </c>
      <c r="G799" t="s">
        <v>342</v>
      </c>
      <c r="H799" s="1" t="str">
        <f>HYPERLINK("http://apps.fcc.gov/ecfs/document/view?id=7520935127","  (2 pages)")</f>
        <v>  (2 pages)</v>
      </c>
    </row>
    <row r="800" spans="1:8" ht="12.75">
      <c r="A800" t="s">
        <v>6</v>
      </c>
      <c r="B800" t="s">
        <v>782</v>
      </c>
      <c r="D800" t="s">
        <v>795</v>
      </c>
      <c r="E800" t="s">
        <v>796</v>
      </c>
      <c r="F800" t="s">
        <v>341</v>
      </c>
      <c r="G800" t="s">
        <v>342</v>
      </c>
      <c r="H800" s="1" t="str">
        <f>HYPERLINK("http://apps.fcc.gov/ecfs/document/view?id=7520934580","Mississippi School Districts Ex Parte (2 pages)")</f>
        <v>Mississippi School Districts Ex Parte (2 pages)</v>
      </c>
    </row>
    <row r="801" spans="1:8" ht="12.75">
      <c r="A801" t="s">
        <v>6</v>
      </c>
      <c r="B801" t="s">
        <v>208</v>
      </c>
      <c r="D801" t="s">
        <v>797</v>
      </c>
      <c r="E801" t="s">
        <v>797</v>
      </c>
      <c r="F801" t="s">
        <v>341</v>
      </c>
      <c r="G801" t="s">
        <v>342</v>
      </c>
      <c r="H801" s="1" t="str">
        <f>HYPERLINK("http://apps.fcc.gov/ecfs/document/view?id=7520934146","  (1 page)")</f>
        <v>  (1 page)</v>
      </c>
    </row>
    <row r="802" spans="1:11" ht="12.75">
      <c r="A802" t="s">
        <v>6</v>
      </c>
      <c r="B802" t="s">
        <v>798</v>
      </c>
      <c r="C802" t="s">
        <v>799</v>
      </c>
      <c r="D802" t="s">
        <v>800</v>
      </c>
      <c r="E802" t="s">
        <v>801</v>
      </c>
      <c r="F802" t="s">
        <v>10</v>
      </c>
      <c r="G802" t="s">
        <v>802</v>
      </c>
      <c r="H802" s="1" t="str">
        <f>HYPERLINK("http://apps.fcc.gov/ecfs/document/view?id=7520932914","FCC Launches Update of E Rate for Broadband in Schools and Libraries (175 pages)")</f>
        <v>FCC Launches Update of E Rate for Broadband in Schools and Libraries (175 pages)</v>
      </c>
      <c r="I802" s="1" t="str">
        <f>HYPERLINK("http://apps.fcc.gov/ecfs/document/view?id=7520932915","FCC Launches Update of E Rate for Broadband in Schools and Libraries (3 pages)")</f>
        <v>FCC Launches Update of E Rate for Broadband in Schools and Libraries (3 pages)</v>
      </c>
      <c r="J802" s="1" t="str">
        <f>HYPERLINK("http://apps.fcc.gov/ecfs/document/view?id=7520932916","FCC Launches Update of E Rate for Broadband in Schools and Libraries (3 pages)")</f>
        <v>FCC Launches Update of E Rate for Broadband in Schools and Libraries (3 pages)</v>
      </c>
      <c r="K802" s="1" t="str">
        <f>HYPERLINK("http://apps.fcc.gov/ecfs/document/view?id=7520932917","FCC Launches Update of E Rate for Broadband in Schools and Libraries (4 pages)")</f>
        <v>FCC Launches Update of E Rate for Broadband in Schools and Libraries (4 pages)</v>
      </c>
    </row>
    <row r="803" spans="1:8" ht="12.75">
      <c r="A803" t="s">
        <v>6</v>
      </c>
      <c r="B803" t="s">
        <v>803</v>
      </c>
      <c r="D803" t="s">
        <v>804</v>
      </c>
      <c r="E803" t="s">
        <v>805</v>
      </c>
      <c r="F803" t="s">
        <v>10</v>
      </c>
      <c r="G803" t="s">
        <v>11</v>
      </c>
      <c r="H803" s="1" t="str">
        <f>HYPERLINK("http://apps.fcc.gov/ecfs/document/view?id=7520933012"," (1 page)")</f>
        <v> (1 page)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4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57421875" style="4" customWidth="1"/>
    <col min="2" max="2" width="76.28125" style="4" customWidth="1"/>
    <col min="3" max="3" width="43.140625" style="4" customWidth="1"/>
    <col min="4" max="4" width="14.57421875" style="4" customWidth="1"/>
    <col min="5" max="5" width="12.421875" style="4" customWidth="1"/>
    <col min="6" max="6" width="8.140625" style="4" customWidth="1"/>
    <col min="7" max="7" width="15.8515625" style="4" customWidth="1"/>
    <col min="8" max="8" width="39.00390625" style="4" customWidth="1"/>
    <col min="9" max="13" width="16.00390625" style="4" customWidth="1"/>
    <col min="14" max="16384" width="9.140625" style="4" customWidth="1"/>
  </cols>
  <sheetData>
    <row r="1" spans="1:8" ht="12.75">
      <c r="A1" s="6" t="s">
        <v>806</v>
      </c>
      <c r="B1" s="6" t="s">
        <v>0</v>
      </c>
      <c r="C1" s="6" t="s">
        <v>813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1158</v>
      </c>
    </row>
    <row r="2" spans="1:8" ht="12.75">
      <c r="A2" s="4" t="s">
        <v>6</v>
      </c>
      <c r="B2" s="4" t="s">
        <v>815</v>
      </c>
      <c r="C2" s="4" t="s">
        <v>753</v>
      </c>
      <c r="D2" s="4" t="s">
        <v>750</v>
      </c>
      <c r="E2" s="4" t="s">
        <v>750</v>
      </c>
      <c r="F2" s="4" t="s">
        <v>10</v>
      </c>
      <c r="G2" s="4" t="s">
        <v>11</v>
      </c>
      <c r="H2" s="7" t="str">
        <f>HYPERLINK("http://apps.fcc.gov/ecfs/document/view?id=7520940045","AASA NPRM Comments (4 pages)")</f>
        <v>AASA NPRM Comments (4 pages)</v>
      </c>
    </row>
    <row r="3" spans="1:8" ht="12.75">
      <c r="A3" s="4" t="s">
        <v>6</v>
      </c>
      <c r="B3" s="4" t="s">
        <v>941</v>
      </c>
      <c r="C3" s="4" t="s">
        <v>152</v>
      </c>
      <c r="D3" s="4" t="s">
        <v>21</v>
      </c>
      <c r="E3" s="4" t="s">
        <v>9</v>
      </c>
      <c r="F3" s="4" t="s">
        <v>10</v>
      </c>
      <c r="G3" s="4" t="s">
        <v>11</v>
      </c>
      <c r="H3" s="7" t="str">
        <f>HYPERLINK("http://apps.fcc.gov/ecfs/document/view?id=7520944100","Crowley (1 page)")</f>
        <v>Crowley (1 page)</v>
      </c>
    </row>
    <row r="4" spans="1:8" ht="12.75">
      <c r="A4" s="4" t="s">
        <v>6</v>
      </c>
      <c r="B4" s="4" t="s">
        <v>1025</v>
      </c>
      <c r="C4" s="4" t="s">
        <v>732</v>
      </c>
      <c r="D4" s="4" t="s">
        <v>728</v>
      </c>
      <c r="E4" s="4" t="s">
        <v>717</v>
      </c>
      <c r="F4" s="4" t="s">
        <v>10</v>
      </c>
      <c r="G4" s="4" t="s">
        <v>11</v>
      </c>
      <c r="H4" s="7" t="str">
        <f>HYPERLINK("http://apps.fcc.gov/ecfs/document/view?id=7520940391","  (2 pages)")</f>
        <v>  (2 pages)</v>
      </c>
    </row>
    <row r="5" spans="1:8" ht="12.75">
      <c r="A5" s="4" t="s">
        <v>6</v>
      </c>
      <c r="B5" s="4" t="s">
        <v>831</v>
      </c>
      <c r="C5" s="4" t="s">
        <v>393</v>
      </c>
      <c r="D5" s="4" t="s">
        <v>333</v>
      </c>
      <c r="E5" s="4" t="s">
        <v>333</v>
      </c>
      <c r="F5" s="4" t="s">
        <v>10</v>
      </c>
      <c r="G5" s="4" t="s">
        <v>11</v>
      </c>
      <c r="H5" s="7" t="str">
        <f>HYPERLINK("http://apps.fcc.gov/ecfs/document/view?id=7520943291","  (3 pages)")</f>
        <v>  (3 pages)</v>
      </c>
    </row>
    <row r="6" spans="1:8" ht="12.75">
      <c r="A6" s="4" t="s">
        <v>6</v>
      </c>
      <c r="B6" s="4" t="s">
        <v>387</v>
      </c>
      <c r="C6" s="4" t="s">
        <v>8</v>
      </c>
      <c r="D6" s="4" t="s">
        <v>21</v>
      </c>
      <c r="E6" s="4" t="s">
        <v>21</v>
      </c>
      <c r="F6" s="4" t="s">
        <v>10</v>
      </c>
      <c r="G6" s="4" t="s">
        <v>11</v>
      </c>
      <c r="H6" s="7" t="str">
        <f>HYPERLINK("http://apps.fcc.gov/ecfs/document/view?id=7520943516","  (6 pages)")</f>
        <v>  (6 pages)</v>
      </c>
    </row>
    <row r="7" spans="1:8" ht="12.75">
      <c r="A7" s="4" t="s">
        <v>6</v>
      </c>
      <c r="B7" s="4" t="s">
        <v>266</v>
      </c>
      <c r="C7" s="4" t="s">
        <v>267</v>
      </c>
      <c r="D7" s="4" t="s">
        <v>21</v>
      </c>
      <c r="E7" s="4" t="s">
        <v>9</v>
      </c>
      <c r="F7" s="4" t="s">
        <v>10</v>
      </c>
      <c r="G7" s="4" t="s">
        <v>11</v>
      </c>
      <c r="H7" s="7" t="str">
        <f>HYPERLINK("http://apps.fcc.gov/ecfs/document/view?id=7520944104","ADTRAN Comments (25 pages)")</f>
        <v>ADTRAN Comments (25 pages)</v>
      </c>
    </row>
    <row r="8" spans="1:8" ht="12.75">
      <c r="A8" s="4" t="s">
        <v>6</v>
      </c>
      <c r="B8" s="4" t="s">
        <v>264</v>
      </c>
      <c r="C8" s="4" t="s">
        <v>8</v>
      </c>
      <c r="D8" s="4" t="s">
        <v>21</v>
      </c>
      <c r="E8" s="4" t="s">
        <v>9</v>
      </c>
      <c r="F8" s="4" t="s">
        <v>10</v>
      </c>
      <c r="G8" s="4" t="s">
        <v>11</v>
      </c>
      <c r="H8" s="7" t="str">
        <f>HYPERLINK("http://apps.fcc.gov/ecfs/document/view?id=7520944012","  (19 pages)")</f>
        <v>  (19 pages)</v>
      </c>
    </row>
    <row r="9" spans="1:8" ht="12.75">
      <c r="A9" s="4" t="s">
        <v>6</v>
      </c>
      <c r="B9" s="4" t="s">
        <v>939</v>
      </c>
      <c r="C9" s="4" t="s">
        <v>150</v>
      </c>
      <c r="D9" s="4" t="s">
        <v>21</v>
      </c>
      <c r="E9" s="4" t="s">
        <v>9</v>
      </c>
      <c r="F9" s="4" t="s">
        <v>10</v>
      </c>
      <c r="G9" s="4" t="s">
        <v>11</v>
      </c>
      <c r="H9" s="7" t="str">
        <f>HYPERLINK("http://apps.fcc.gov/ecfs/document/view?id=7520943907","  (1 page)")</f>
        <v>  (1 page)</v>
      </c>
    </row>
    <row r="10" spans="1:8" ht="12.75">
      <c r="A10" s="4" t="s">
        <v>6</v>
      </c>
      <c r="B10" s="4" t="s">
        <v>262</v>
      </c>
      <c r="C10" s="4" t="s">
        <v>263</v>
      </c>
      <c r="D10" s="4" t="s">
        <v>21</v>
      </c>
      <c r="E10" s="4" t="s">
        <v>9</v>
      </c>
      <c r="F10" s="4" t="s">
        <v>10</v>
      </c>
      <c r="G10" s="4" t="s">
        <v>11</v>
      </c>
      <c r="H10" s="7" t="str">
        <f>HYPERLINK("http://apps.fcc.gov/ecfs/document/view?id=7520943895","ARC E rate Comments (16 pages)")</f>
        <v>ARC E rate Comments (16 pages)</v>
      </c>
    </row>
    <row r="11" spans="1:8" ht="12.75">
      <c r="A11" s="4" t="s">
        <v>6</v>
      </c>
      <c r="B11" s="4" t="s">
        <v>881</v>
      </c>
      <c r="C11" s="4" t="s">
        <v>351</v>
      </c>
      <c r="D11" s="4" t="s">
        <v>21</v>
      </c>
      <c r="E11" s="4" t="s">
        <v>21</v>
      </c>
      <c r="F11" s="4" t="s">
        <v>10</v>
      </c>
      <c r="G11" s="4" t="s">
        <v>11</v>
      </c>
      <c r="H11" s="7" t="str">
        <f>HYPERLINK("http://apps.fcc.gov/ecfs/document/view?id=7520943646","AESD Comment on NPRM changes to Email and Web Hosting (2 pages)")</f>
        <v>AESD Comment on NPRM changes to Email and Web Hosting (2 pages)</v>
      </c>
    </row>
    <row r="12" spans="1:12" ht="12.75">
      <c r="A12" s="4" t="s">
        <v>6</v>
      </c>
      <c r="B12" s="4" t="s">
        <v>260</v>
      </c>
      <c r="C12" s="4" t="s">
        <v>8</v>
      </c>
      <c r="D12" s="4" t="s">
        <v>21</v>
      </c>
      <c r="E12" s="4" t="s">
        <v>9</v>
      </c>
      <c r="F12" s="4" t="s">
        <v>10</v>
      </c>
      <c r="G12" s="4" t="s">
        <v>11</v>
      </c>
      <c r="H12" s="7" t="str">
        <f>HYPERLINK("http://apps.fcc.gov/ecfs/document/view?id=7520944022","Comments received during the Alliance for Excellent Education E rate 99 in 5 Pet (105 pages)")</f>
        <v>Comments received during the Alliance for Excellent Education E rate 99 in 5 Pet (105 pages)</v>
      </c>
      <c r="I12" s="7" t="str">
        <f>HYPERLINK("http://apps.fcc.gov/ecfs/document/view?id=7520943933","Individuals who signed the Alliance for Excellent Education 99 in 5 Petition on (53 pages)")</f>
        <v>Individuals who signed the Alliance for Excellent Education 99 in 5 Petition on (53 pages)</v>
      </c>
      <c r="J12" s="7" t="str">
        <f>HYPERLINK("http://apps.fcc.gov/ecfs/document/view?id=7520943813","Comments from the Alliance for Excellent Education on WC Docket No 13 184 (14 pages)")</f>
        <v>Comments from the Alliance for Excellent Education on WC Docket No 13 184 (14 pages)</v>
      </c>
      <c r="K12" s="7" t="str">
        <f>HYPERLINK("http://apps.fcc.gov/ecfs/document/view?id=7520944057","Letter calling to modernize simplify and expand E rate (3 pages)")</f>
        <v>Letter calling to modernize simplify and expand E rate (3 pages)</v>
      </c>
      <c r="L12" s="4"/>
    </row>
    <row r="13" spans="1:8" ht="12.75">
      <c r="A13" s="4" t="s">
        <v>6</v>
      </c>
      <c r="B13" s="4" t="s">
        <v>257</v>
      </c>
      <c r="C13" s="4" t="s">
        <v>258</v>
      </c>
      <c r="D13" s="4" t="s">
        <v>21</v>
      </c>
      <c r="E13" s="4" t="s">
        <v>9</v>
      </c>
      <c r="F13" s="4" t="s">
        <v>10</v>
      </c>
      <c r="G13" s="4" t="s">
        <v>11</v>
      </c>
      <c r="H13" s="7" t="str">
        <f>HYPERLINK("http://apps.fcc.gov/ecfs/document/view?id=7520943994","  (22 pages)")</f>
        <v>  (22 pages)</v>
      </c>
    </row>
    <row r="14" spans="1:8" ht="12.75">
      <c r="A14" s="4" t="s">
        <v>6</v>
      </c>
      <c r="B14" s="4" t="s">
        <v>255</v>
      </c>
      <c r="C14" s="4" t="s">
        <v>8</v>
      </c>
      <c r="D14" s="4" t="s">
        <v>21</v>
      </c>
      <c r="E14" s="4" t="s">
        <v>9</v>
      </c>
      <c r="F14" s="4" t="s">
        <v>10</v>
      </c>
      <c r="G14" s="4" t="s">
        <v>11</v>
      </c>
      <c r="H14" s="7" t="str">
        <f>HYPERLINK("http://apps.fcc.gov/ecfs/document/view?id=7520943905","Erate NPRM (10 pages)")</f>
        <v>Erate NPRM (10 pages)</v>
      </c>
    </row>
    <row r="15" spans="1:8" ht="12.75">
      <c r="A15" s="4" t="s">
        <v>6</v>
      </c>
      <c r="B15" s="4" t="s">
        <v>327</v>
      </c>
      <c r="C15" s="4" t="s">
        <v>8</v>
      </c>
      <c r="D15" s="4" t="s">
        <v>21</v>
      </c>
      <c r="E15" s="4" t="s">
        <v>21</v>
      </c>
      <c r="F15" s="4" t="s">
        <v>10</v>
      </c>
      <c r="G15" s="4" t="s">
        <v>11</v>
      </c>
      <c r="H15" s="7" t="str">
        <f>HYPERLINK("http://apps.fcc.gov/ecfs/document/view?id=7520943767","AFT Comments on E Rate (1 page)")</f>
        <v>AFT Comments on E Rate (1 page)</v>
      </c>
    </row>
    <row r="16" spans="1:8" ht="12.75">
      <c r="A16" s="4" t="s">
        <v>6</v>
      </c>
      <c r="B16" s="4" t="s">
        <v>256</v>
      </c>
      <c r="C16" s="4" t="s">
        <v>8</v>
      </c>
      <c r="D16" s="4" t="s">
        <v>21</v>
      </c>
      <c r="E16" s="4" t="s">
        <v>9</v>
      </c>
      <c r="F16" s="4" t="s">
        <v>10</v>
      </c>
      <c r="G16" s="4" t="s">
        <v>11</v>
      </c>
      <c r="H16" s="7" t="str">
        <f>HYPERLINK("http://apps.fcc.gov/ecfs/document/view?id=7520944024","  (32 pages)")</f>
        <v>  (32 pages)</v>
      </c>
    </row>
    <row r="17" spans="1:8" ht="12.75">
      <c r="A17" s="4" t="s">
        <v>6</v>
      </c>
      <c r="B17" s="4" t="s">
        <v>253</v>
      </c>
      <c r="C17" s="4" t="s">
        <v>254</v>
      </c>
      <c r="D17" s="4" t="s">
        <v>21</v>
      </c>
      <c r="E17" s="4" t="s">
        <v>9</v>
      </c>
      <c r="F17" s="4" t="s">
        <v>10</v>
      </c>
      <c r="G17" s="4" t="s">
        <v>11</v>
      </c>
      <c r="H17" s="7" t="str">
        <f>HYPERLINK("http://apps.fcc.gov/ecfs/document/view?id=7520944072","  (15 pages)")</f>
        <v>  (15 pages)</v>
      </c>
    </row>
    <row r="18" spans="1:8" ht="12.75">
      <c r="A18" s="4" t="s">
        <v>6</v>
      </c>
      <c r="B18" s="4" t="s">
        <v>1093</v>
      </c>
      <c r="C18" s="4" t="s">
        <v>1087</v>
      </c>
      <c r="D18" s="4" t="s">
        <v>9</v>
      </c>
      <c r="E18" s="4" t="s">
        <v>1070</v>
      </c>
      <c r="F18" s="4" t="s">
        <v>10</v>
      </c>
      <c r="G18" s="4" t="s">
        <v>11</v>
      </c>
      <c r="H18" s="7" t="str">
        <f>HYPERLINK("http://apps.fcc.gov/ecfs/document/view?id=7520944349","Amy Biehl High School E Rate NPRM Comments (2 pages)")</f>
        <v>Amy Biehl High School E Rate NPRM Comments (2 pages)</v>
      </c>
    </row>
    <row r="19" spans="1:8" ht="12.75">
      <c r="A19" s="4" t="s">
        <v>6</v>
      </c>
      <c r="B19" s="4" t="s">
        <v>252</v>
      </c>
      <c r="C19" s="4" t="s">
        <v>8</v>
      </c>
      <c r="D19" s="4" t="s">
        <v>9</v>
      </c>
      <c r="E19" s="4" t="s">
        <v>9</v>
      </c>
      <c r="F19" s="4" t="s">
        <v>10</v>
      </c>
      <c r="G19" s="4" t="s">
        <v>11</v>
      </c>
      <c r="H19" s="7" t="str">
        <f>HYPERLINK("http://apps.fcc.gov/ecfs/document/view?id=7520944251","  (1 page)")</f>
        <v>  (1 page)</v>
      </c>
    </row>
    <row r="20" spans="1:8" ht="12.75">
      <c r="A20" t="s">
        <v>6</v>
      </c>
      <c r="B20" s="4" t="s">
        <v>1144</v>
      </c>
      <c r="C20" t="s">
        <v>8</v>
      </c>
      <c r="D20" t="s">
        <v>1070</v>
      </c>
      <c r="E20" t="s">
        <v>1109</v>
      </c>
      <c r="F20" t="s">
        <v>10</v>
      </c>
      <c r="G20" t="s">
        <v>11</v>
      </c>
      <c r="H20" s="1" t="str">
        <f>HYPERLINK("http://apps.fcc.gov/ecfs/document/view?id=7520944448","  (1 page)")</f>
        <v>  (1 page)</v>
      </c>
    </row>
    <row r="21" spans="1:8" ht="12.75">
      <c r="A21" s="4" t="s">
        <v>6</v>
      </c>
      <c r="B21" s="4" t="s">
        <v>326</v>
      </c>
      <c r="C21" s="4" t="s">
        <v>8</v>
      </c>
      <c r="D21" s="4" t="s">
        <v>21</v>
      </c>
      <c r="E21" s="4" t="s">
        <v>21</v>
      </c>
      <c r="F21" s="4" t="s">
        <v>10</v>
      </c>
      <c r="G21" s="4" t="s">
        <v>11</v>
      </c>
      <c r="H21" s="7" t="str">
        <f>HYPERLINK("http://apps.fcc.gov/ecfs/document/view?id=7520943757","  (2 pages)")</f>
        <v>  (2 pages)</v>
      </c>
    </row>
    <row r="22" spans="1:8" ht="12.75">
      <c r="A22" s="4" t="s">
        <v>6</v>
      </c>
      <c r="B22" s="4" t="s">
        <v>386</v>
      </c>
      <c r="C22" s="4" t="s">
        <v>8</v>
      </c>
      <c r="D22" s="4" t="s">
        <v>333</v>
      </c>
      <c r="E22" s="4" t="s">
        <v>21</v>
      </c>
      <c r="F22" s="4" t="s">
        <v>10</v>
      </c>
      <c r="G22" s="4" t="s">
        <v>11</v>
      </c>
      <c r="H22" s="7" t="str">
        <f>HYPERLINK("http://apps.fcc.gov/ecfs/document/view?id=7520943452","  (1 page)")</f>
        <v>  (1 page)</v>
      </c>
    </row>
    <row r="23" spans="1:8" ht="12.75">
      <c r="A23" s="4" t="s">
        <v>6</v>
      </c>
      <c r="B23" s="4" t="s">
        <v>649</v>
      </c>
      <c r="C23" s="4"/>
      <c r="D23" s="4" t="s">
        <v>598</v>
      </c>
      <c r="E23" s="4" t="s">
        <v>598</v>
      </c>
      <c r="F23" s="4" t="s">
        <v>10</v>
      </c>
      <c r="G23" s="4" t="s">
        <v>11</v>
      </c>
      <c r="H23" s="7" t="str">
        <f>HYPERLINK("http://apps.fcc.gov/ecfs/document/view?id=7520942885","parent e rate comment (1 page)")</f>
        <v>parent e rate comment (1 page)</v>
      </c>
    </row>
    <row r="24" spans="1:8" ht="12.75">
      <c r="A24" s="4" t="s">
        <v>6</v>
      </c>
      <c r="B24" s="4" t="s">
        <v>500</v>
      </c>
      <c r="C24" s="4" t="s">
        <v>8</v>
      </c>
      <c r="D24" s="4" t="s">
        <v>333</v>
      </c>
      <c r="E24" s="4" t="s">
        <v>333</v>
      </c>
      <c r="F24" s="4" t="s">
        <v>10</v>
      </c>
      <c r="G24" s="4" t="s">
        <v>11</v>
      </c>
      <c r="H24" s="7" t="str">
        <f>HYPERLINK("http://apps.fcc.gov/ecfs/document/view?id=7520943421","  (1 page)")</f>
        <v>  (1 page)</v>
      </c>
    </row>
    <row r="25" spans="1:8" ht="12.75">
      <c r="A25" t="s">
        <v>6</v>
      </c>
      <c r="B25" s="4" t="s">
        <v>1149</v>
      </c>
      <c r="C25" t="s">
        <v>1128</v>
      </c>
      <c r="D25" t="s">
        <v>1070</v>
      </c>
      <c r="E25" t="s">
        <v>1109</v>
      </c>
      <c r="F25" t="s">
        <v>10</v>
      </c>
      <c r="G25" t="s">
        <v>11</v>
      </c>
      <c r="H25" s="1" t="str">
        <f>HYPERLINK("http://apps.fcc.gov/ecfs/document/view?id=7520944460","  (1 page)")</f>
        <v>  (1 page)</v>
      </c>
    </row>
    <row r="26" spans="1:8" ht="12.75">
      <c r="A26" s="4" t="s">
        <v>6</v>
      </c>
      <c r="B26" s="4" t="s">
        <v>499</v>
      </c>
      <c r="C26" s="4" t="s">
        <v>8</v>
      </c>
      <c r="D26" s="4" t="s">
        <v>333</v>
      </c>
      <c r="E26" s="4" t="s">
        <v>333</v>
      </c>
      <c r="F26" s="4" t="s">
        <v>10</v>
      </c>
      <c r="G26" s="4" t="s">
        <v>11</v>
      </c>
      <c r="H26" s="7" t="str">
        <f>HYPERLINK("http://apps.fcc.gov/ecfs/document/view?id=7520943384","  (1 page)")</f>
        <v>  (1 page)</v>
      </c>
    </row>
    <row r="27" spans="1:8" ht="12.75">
      <c r="A27" s="4" t="s">
        <v>6</v>
      </c>
      <c r="B27" s="4" t="s">
        <v>250</v>
      </c>
      <c r="C27" s="4" t="s">
        <v>8</v>
      </c>
      <c r="D27" s="4" t="s">
        <v>21</v>
      </c>
      <c r="E27" s="4" t="s">
        <v>9</v>
      </c>
      <c r="F27" s="4" t="s">
        <v>10</v>
      </c>
      <c r="G27" s="4" t="s">
        <v>11</v>
      </c>
      <c r="H27" s="7" t="str">
        <f>HYPERLINK("http://apps.fcc.gov/ecfs/document/view?id=7520943871","  (1 page)")</f>
        <v>  (1 page)</v>
      </c>
    </row>
    <row r="28" spans="1:8" ht="12.75">
      <c r="A28" s="4" t="s">
        <v>6</v>
      </c>
      <c r="B28" s="4" t="s">
        <v>683</v>
      </c>
      <c r="C28" s="4" t="s">
        <v>8</v>
      </c>
      <c r="D28" s="4" t="s">
        <v>673</v>
      </c>
      <c r="E28" s="4" t="s">
        <v>673</v>
      </c>
      <c r="F28" s="4" t="s">
        <v>10</v>
      </c>
      <c r="G28" s="4" t="s">
        <v>11</v>
      </c>
      <c r="H28" s="7" t="str">
        <f>HYPERLINK("http://apps.fcc.gov/ecfs/document/view?id=7520942546"," (1 page)")</f>
        <v> (1 page)</v>
      </c>
    </row>
    <row r="29" spans="1:8" ht="12.75">
      <c r="A29" s="4" t="s">
        <v>6</v>
      </c>
      <c r="B29" s="4" t="s">
        <v>628</v>
      </c>
      <c r="C29" s="4" t="s">
        <v>8</v>
      </c>
      <c r="D29" s="4" t="s">
        <v>598</v>
      </c>
      <c r="E29" s="4" t="s">
        <v>524</v>
      </c>
      <c r="F29" s="4" t="s">
        <v>10</v>
      </c>
      <c r="G29" s="4" t="s">
        <v>11</v>
      </c>
      <c r="H29" s="7" t="str">
        <f>HYPERLINK("http://apps.fcc.gov/ecfs/document/view?id=7520942917","  (3 pages)")</f>
        <v>  (3 pages)</v>
      </c>
    </row>
    <row r="30" spans="1:8" ht="12.75">
      <c r="A30" s="4" t="s">
        <v>6</v>
      </c>
      <c r="B30" s="4" t="s">
        <v>781</v>
      </c>
      <c r="C30" s="4" t="s">
        <v>8</v>
      </c>
      <c r="D30" s="4" t="s">
        <v>768</v>
      </c>
      <c r="E30" s="4" t="s">
        <v>768</v>
      </c>
      <c r="F30" s="4" t="s">
        <v>10</v>
      </c>
      <c r="G30" s="4" t="s">
        <v>11</v>
      </c>
      <c r="H30" s="7" t="str">
        <f>HYPERLINK("http://apps.fcc.gov/ecfs/document/view?id=7520938521"," (1 page)")</f>
        <v> (1 page)</v>
      </c>
    </row>
    <row r="31" spans="1:8" ht="12.75">
      <c r="A31" s="4" t="s">
        <v>6</v>
      </c>
      <c r="B31" s="4" t="s">
        <v>810</v>
      </c>
      <c r="C31" s="4" t="s">
        <v>404</v>
      </c>
      <c r="D31" s="4" t="s">
        <v>333</v>
      </c>
      <c r="E31" s="4" t="s">
        <v>333</v>
      </c>
      <c r="F31" s="4" t="s">
        <v>10</v>
      </c>
      <c r="G31" s="4" t="s">
        <v>11</v>
      </c>
      <c r="H31" s="7" t="str">
        <f>HYPERLINK("http://apps.fcc.gov/ecfs/document/view?id=7520943338","AA Comment on E Rate NPRM (1 page)")</f>
        <v>AA Comment on E Rate NPRM (1 page)</v>
      </c>
    </row>
    <row r="32" spans="1:8" ht="12.75">
      <c r="A32" s="4" t="s">
        <v>6</v>
      </c>
      <c r="B32" s="4" t="s">
        <v>1003</v>
      </c>
      <c r="C32" s="4" t="s">
        <v>733</v>
      </c>
      <c r="D32" s="4" t="s">
        <v>728</v>
      </c>
      <c r="E32" s="4" t="s">
        <v>728</v>
      </c>
      <c r="F32" s="4" t="s">
        <v>10</v>
      </c>
      <c r="G32" s="4" t="s">
        <v>11</v>
      </c>
      <c r="H32" s="7" t="str">
        <f>HYPERLINK("http://apps.fcc.gov/ecfs/document/view?id=7520940361","  (2 pages)")</f>
        <v>  (2 pages)</v>
      </c>
    </row>
    <row r="33" spans="1:8" ht="12.75">
      <c r="A33" s="4" t="s">
        <v>6</v>
      </c>
      <c r="B33" s="4" t="s">
        <v>832</v>
      </c>
      <c r="C33" s="4" t="s">
        <v>599</v>
      </c>
      <c r="D33" s="4" t="s">
        <v>598</v>
      </c>
      <c r="E33" s="4" t="s">
        <v>524</v>
      </c>
      <c r="F33" s="4" t="s">
        <v>10</v>
      </c>
      <c r="G33" s="4" t="s">
        <v>11</v>
      </c>
      <c r="H33" s="7" t="str">
        <f>HYPERLINK("http://apps.fcc.gov/ecfs/document/view?id=7520942960","  (1 page)")</f>
        <v>  (1 page)</v>
      </c>
    </row>
    <row r="34" spans="1:8" ht="12.75">
      <c r="A34" s="4" t="s">
        <v>6</v>
      </c>
      <c r="B34" s="4" t="s">
        <v>385</v>
      </c>
      <c r="C34" s="4" t="s">
        <v>8</v>
      </c>
      <c r="D34" s="4" t="s">
        <v>333</v>
      </c>
      <c r="E34" s="4" t="s">
        <v>21</v>
      </c>
      <c r="F34" s="4" t="s">
        <v>10</v>
      </c>
      <c r="G34" s="4" t="s">
        <v>11</v>
      </c>
      <c r="H34" s="7" t="str">
        <f>HYPERLINK("http://apps.fcc.gov/ecfs/document/view?id=7520943471","  (1 page)")</f>
        <v>  (1 page)</v>
      </c>
    </row>
    <row r="35" spans="1:8" ht="12.75">
      <c r="A35" s="4" t="s">
        <v>6</v>
      </c>
      <c r="B35" s="4" t="s">
        <v>843</v>
      </c>
      <c r="C35" s="4" t="s">
        <v>739</v>
      </c>
      <c r="D35" s="4" t="s">
        <v>738</v>
      </c>
      <c r="E35" s="4" t="s">
        <v>738</v>
      </c>
      <c r="F35" s="4" t="s">
        <v>10</v>
      </c>
      <c r="G35" s="4" t="s">
        <v>11</v>
      </c>
      <c r="H35" s="7" t="str">
        <f>HYPERLINK("http://apps.fcc.gov/ecfs/document/view?id=7520940191","  (2 pages)")</f>
        <v>  (2 pages)</v>
      </c>
    </row>
    <row r="36" spans="1:8" ht="12.75">
      <c r="A36" s="4" t="s">
        <v>6</v>
      </c>
      <c r="B36" s="4" t="s">
        <v>265</v>
      </c>
      <c r="C36" s="4" t="s">
        <v>8</v>
      </c>
      <c r="D36" s="4" t="s">
        <v>21</v>
      </c>
      <c r="E36" s="4" t="s">
        <v>9</v>
      </c>
      <c r="F36" s="4" t="s">
        <v>10</v>
      </c>
      <c r="G36" s="4" t="s">
        <v>11</v>
      </c>
      <c r="H36" s="7" t="str">
        <f>HYPERLINK("http://apps.fcc.gov/ecfs/document/view?id=7520943950","  (21 pages)")</f>
        <v>  (21 pages)</v>
      </c>
    </row>
    <row r="37" spans="1:8" ht="12.75">
      <c r="A37" s="4" t="s">
        <v>6</v>
      </c>
      <c r="B37" s="4" t="s">
        <v>627</v>
      </c>
      <c r="C37" s="4" t="s">
        <v>8</v>
      </c>
      <c r="D37" s="4" t="s">
        <v>598</v>
      </c>
      <c r="E37" s="4" t="s">
        <v>524</v>
      </c>
      <c r="F37" s="4" t="s">
        <v>10</v>
      </c>
      <c r="G37" s="4" t="s">
        <v>11</v>
      </c>
      <c r="H37" s="7" t="str">
        <f>HYPERLINK("http://apps.fcc.gov/ecfs/document/view?id=7520942921"," (1 page)")</f>
        <v> (1 page)</v>
      </c>
    </row>
    <row r="38" spans="1:8" ht="12.75">
      <c r="A38" s="4" t="s">
        <v>6</v>
      </c>
      <c r="B38" s="4" t="s">
        <v>876</v>
      </c>
      <c r="C38" s="4" t="s">
        <v>776</v>
      </c>
      <c r="D38" s="4" t="s">
        <v>770</v>
      </c>
      <c r="E38" s="4" t="s">
        <v>768</v>
      </c>
      <c r="F38" s="4" t="s">
        <v>10</v>
      </c>
      <c r="G38" s="4" t="s">
        <v>11</v>
      </c>
      <c r="H38" s="7" t="str">
        <f>HYPERLINK("http://apps.fcc.gov/ecfs/document/view?id=7520938192"," (1 page)")</f>
        <v> (1 page)</v>
      </c>
    </row>
    <row r="39" spans="1:8" ht="12.75">
      <c r="A39" s="4" t="s">
        <v>6</v>
      </c>
      <c r="B39" s="4" t="s">
        <v>1034</v>
      </c>
      <c r="C39" s="4" t="s">
        <v>240</v>
      </c>
      <c r="D39" s="4" t="s">
        <v>21</v>
      </c>
      <c r="E39" s="4" t="s">
        <v>9</v>
      </c>
      <c r="F39" s="4" t="s">
        <v>10</v>
      </c>
      <c r="G39" s="4" t="s">
        <v>11</v>
      </c>
      <c r="H39" s="7" t="str">
        <f>HYPERLINK("http://apps.fcc.gov/ecfs/document/view?id=7520944121","  (2 pages)")</f>
        <v>  (2 pages)</v>
      </c>
    </row>
    <row r="40" spans="1:8" ht="12.75">
      <c r="A40" s="4" t="s">
        <v>6</v>
      </c>
      <c r="B40" s="4" t="s">
        <v>672</v>
      </c>
      <c r="C40" s="4" t="s">
        <v>8</v>
      </c>
      <c r="D40" s="4" t="s">
        <v>673</v>
      </c>
      <c r="E40" s="4" t="s">
        <v>553</v>
      </c>
      <c r="F40" s="4" t="s">
        <v>10</v>
      </c>
      <c r="G40" s="4" t="s">
        <v>11</v>
      </c>
      <c r="H40" s="7" t="str">
        <f>HYPERLINK("http://apps.fcc.gov/ecfs/document/view?id=7520942624","School District Comment on NPRM changes to Email and Web Hosting (1 page)")</f>
        <v>School District Comment on NPRM changes to Email and Web Hosting (1 page)</v>
      </c>
    </row>
    <row r="41" spans="1:8" ht="12.75">
      <c r="A41" s="4" t="s">
        <v>6</v>
      </c>
      <c r="B41" s="4" t="s">
        <v>884</v>
      </c>
      <c r="C41" s="4" t="s">
        <v>689</v>
      </c>
      <c r="D41" s="4" t="s">
        <v>673</v>
      </c>
      <c r="E41" s="4" t="s">
        <v>673</v>
      </c>
      <c r="F41" s="4" t="s">
        <v>10</v>
      </c>
      <c r="G41" s="4" t="s">
        <v>11</v>
      </c>
      <c r="H41" s="7" t="str">
        <f>HYPERLINK("http://apps.fcc.gov/ecfs/document/view?id=7520942535"," (2 pages)")</f>
        <v> (2 pages)</v>
      </c>
    </row>
    <row r="42" spans="1:9" ht="12.75">
      <c r="A42" s="4" t="s">
        <v>6</v>
      </c>
      <c r="B42" s="4" t="s">
        <v>812</v>
      </c>
      <c r="C42" s="4" t="s">
        <v>743</v>
      </c>
      <c r="D42" s="4" t="s">
        <v>738</v>
      </c>
      <c r="E42" s="4" t="s">
        <v>738</v>
      </c>
      <c r="F42" s="4" t="s">
        <v>10</v>
      </c>
      <c r="G42" s="4" t="s">
        <v>11</v>
      </c>
      <c r="H42" s="7" t="str">
        <f>HYPERLINK("http://apps.fcc.gov/ecfs/document/view?id=7520940203","  (2 pages)")</f>
        <v>  (2 pages)</v>
      </c>
      <c r="I42" s="7"/>
    </row>
    <row r="43" spans="1:8" ht="12.75">
      <c r="A43" s="4" t="s">
        <v>6</v>
      </c>
      <c r="B43" s="4" t="s">
        <v>248</v>
      </c>
      <c r="C43" s="4" t="s">
        <v>8</v>
      </c>
      <c r="D43" s="4" t="s">
        <v>9</v>
      </c>
      <c r="E43" s="4" t="s">
        <v>9</v>
      </c>
      <c r="F43" s="4" t="s">
        <v>10</v>
      </c>
      <c r="G43" s="4" t="s">
        <v>11</v>
      </c>
      <c r="H43" s="7" t="str">
        <f>HYPERLINK("http://apps.fcc.gov/ecfs/document/view?id=7520944216","  (1 page)")</f>
        <v>  (1 page)</v>
      </c>
    </row>
    <row r="44" spans="1:8" ht="12.75">
      <c r="A44" s="4" t="s">
        <v>6</v>
      </c>
      <c r="B44" s="4" t="s">
        <v>247</v>
      </c>
      <c r="C44" s="4" t="s">
        <v>8</v>
      </c>
      <c r="D44" s="4" t="s">
        <v>21</v>
      </c>
      <c r="E44" s="4" t="s">
        <v>9</v>
      </c>
      <c r="F44" s="4" t="s">
        <v>10</v>
      </c>
      <c r="G44" s="4" t="s">
        <v>11</v>
      </c>
      <c r="H44" s="7" t="str">
        <f>HYPERLINK("http://apps.fcc.gov/ecfs/document/view?id=7520944066","Comments on WC Docket No 13 184 (4 pages)")</f>
        <v>Comments on WC Docket No 13 184 (4 pages)</v>
      </c>
    </row>
    <row r="45" spans="1:8" ht="12.75">
      <c r="A45" s="4" t="s">
        <v>6</v>
      </c>
      <c r="B45" s="4" t="s">
        <v>924</v>
      </c>
      <c r="C45" s="4" t="s">
        <v>144</v>
      </c>
      <c r="D45" s="4" t="s">
        <v>21</v>
      </c>
      <c r="E45" s="4" t="s">
        <v>9</v>
      </c>
      <c r="F45" s="4" t="s">
        <v>10</v>
      </c>
      <c r="G45" s="4" t="s">
        <v>11</v>
      </c>
      <c r="H45" s="7" t="str">
        <f>HYPERLINK("http://apps.fcc.gov/ecfs/document/view?id=7520944095","Bayshore (2 pages)")</f>
        <v>Bayshore (2 pages)</v>
      </c>
    </row>
    <row r="46" spans="1:8" ht="12.75">
      <c r="A46" s="4" t="s">
        <v>6</v>
      </c>
      <c r="B46" s="4" t="s">
        <v>936</v>
      </c>
      <c r="C46" s="4" t="s">
        <v>364</v>
      </c>
      <c r="D46" s="4" t="s">
        <v>21</v>
      </c>
      <c r="E46" s="4" t="s">
        <v>21</v>
      </c>
      <c r="F46" s="4" t="s">
        <v>10</v>
      </c>
      <c r="G46" s="4" t="s">
        <v>11</v>
      </c>
      <c r="H46" s="7" t="str">
        <f>HYPERLINK("http://apps.fcc.gov/ecfs/document/view?id=7520943716","BUSD Comment on 13 184 (2 pages)")</f>
        <v>BUSD Comment on 13 184 (2 pages)</v>
      </c>
    </row>
    <row r="47" spans="1:8" ht="12.75">
      <c r="A47" s="4" t="s">
        <v>6</v>
      </c>
      <c r="B47" s="4" t="s">
        <v>551</v>
      </c>
      <c r="C47" s="4" t="s">
        <v>8</v>
      </c>
      <c r="D47" s="4" t="s">
        <v>333</v>
      </c>
      <c r="E47" s="4" t="s">
        <v>333</v>
      </c>
      <c r="F47" s="4" t="s">
        <v>10</v>
      </c>
      <c r="G47" s="4" t="s">
        <v>11</v>
      </c>
      <c r="H47" s="7" t="str">
        <f>HYPERLINK("http://apps.fcc.gov/ecfs/document/view?id=7520943226"," (1 page)")</f>
        <v> (1 page)</v>
      </c>
    </row>
    <row r="48" spans="1:8" ht="12.75">
      <c r="A48" s="4" t="s">
        <v>6</v>
      </c>
      <c r="B48" s="4" t="s">
        <v>923</v>
      </c>
      <c r="C48" s="4" t="s">
        <v>613</v>
      </c>
      <c r="D48" s="4" t="s">
        <v>598</v>
      </c>
      <c r="E48" s="4" t="s">
        <v>524</v>
      </c>
      <c r="F48" s="4" t="s">
        <v>10</v>
      </c>
      <c r="G48" s="4" t="s">
        <v>11</v>
      </c>
      <c r="H48" s="7" t="str">
        <f>HYPERLINK("http://apps.fcc.gov/ecfs/document/view?id=7520942983","  (1 page)")</f>
        <v>  (1 page)</v>
      </c>
    </row>
    <row r="49" spans="1:8" ht="12.75">
      <c r="A49" s="4" t="s">
        <v>6</v>
      </c>
      <c r="B49" s="4" t="s">
        <v>244</v>
      </c>
      <c r="C49" s="4" t="s">
        <v>8</v>
      </c>
      <c r="D49" s="4" t="s">
        <v>21</v>
      </c>
      <c r="E49" s="4" t="s">
        <v>9</v>
      </c>
      <c r="F49" s="4" t="s">
        <v>10</v>
      </c>
      <c r="G49" s="4" t="s">
        <v>11</v>
      </c>
      <c r="H49" s="7" t="str">
        <f>HYPERLINK("http://apps.fcc.gov/ecfs/document/view?id=7520944142","  (14 pages)")</f>
        <v>  (14 pages)</v>
      </c>
    </row>
    <row r="50" spans="1:8" ht="12.75">
      <c r="A50" s="4" t="s">
        <v>6</v>
      </c>
      <c r="B50" s="4" t="s">
        <v>934</v>
      </c>
      <c r="C50" s="4" t="s">
        <v>301</v>
      </c>
      <c r="D50" s="4" t="s">
        <v>21</v>
      </c>
      <c r="E50" s="4" t="s">
        <v>21</v>
      </c>
      <c r="F50" s="4" t="s">
        <v>10</v>
      </c>
      <c r="G50" s="4" t="s">
        <v>11</v>
      </c>
      <c r="H50" s="7" t="str">
        <f>HYPERLINK("http://apps.fcc.gov/ecfs/document/view?id=7520943810","  (1 page)")</f>
        <v>  (1 page)</v>
      </c>
    </row>
    <row r="51" spans="1:9" ht="12.75">
      <c r="A51" s="4" t="s">
        <v>6</v>
      </c>
      <c r="B51" s="4" t="s">
        <v>243</v>
      </c>
      <c r="C51" s="4" t="s">
        <v>8</v>
      </c>
      <c r="D51" s="4" t="s">
        <v>21</v>
      </c>
      <c r="E51" s="4" t="s">
        <v>9</v>
      </c>
      <c r="F51" s="4" t="s">
        <v>10</v>
      </c>
      <c r="G51" s="4" t="s">
        <v>11</v>
      </c>
      <c r="H51" s="7" t="str">
        <f>HYPERLINK("http://apps.fcc.gov/ecfs/document/view?id=7520943864","  (5 pages)")</f>
        <v>  (5 pages)</v>
      </c>
      <c r="I51" s="7"/>
    </row>
    <row r="52" spans="1:8" ht="12.75">
      <c r="A52" s="4" t="s">
        <v>6</v>
      </c>
      <c r="B52" s="4" t="s">
        <v>865</v>
      </c>
      <c r="C52" s="4" t="s">
        <v>84</v>
      </c>
      <c r="D52" s="4" t="s">
        <v>21</v>
      </c>
      <c r="E52" s="4" t="s">
        <v>9</v>
      </c>
      <c r="F52" s="4" t="s">
        <v>10</v>
      </c>
      <c r="G52" s="4" t="s">
        <v>11</v>
      </c>
      <c r="H52" s="7" t="str">
        <f>HYPERLINK("http://apps.fcc.gov/ecfs/document/view?id=7520944129","  (2 pages)")</f>
        <v>  (2 pages)</v>
      </c>
    </row>
    <row r="53" spans="1:12" ht="12.75">
      <c r="A53" t="s">
        <v>6</v>
      </c>
      <c r="B53" s="4" t="s">
        <v>1119</v>
      </c>
      <c r="C53" t="s">
        <v>8</v>
      </c>
      <c r="D53" t="s">
        <v>1109</v>
      </c>
      <c r="E53" t="s">
        <v>1109</v>
      </c>
      <c r="F53" t="s">
        <v>10</v>
      </c>
      <c r="G53" t="s">
        <v>11</v>
      </c>
      <c r="H53" s="1" t="str">
        <f>HYPERLINK("http://apps.fcc.gov/ecfs/document/view?id=7520944717","  (1 page)")</f>
        <v>  (1 page)</v>
      </c>
      <c r="I53"/>
      <c r="J53"/>
      <c r="K53"/>
      <c r="L53"/>
    </row>
    <row r="54" spans="1:8" ht="12.75">
      <c r="A54" s="4" t="s">
        <v>6</v>
      </c>
      <c r="B54" s="4" t="s">
        <v>498</v>
      </c>
      <c r="C54" s="4" t="s">
        <v>8</v>
      </c>
      <c r="D54" s="4" t="s">
        <v>333</v>
      </c>
      <c r="E54" s="4" t="s">
        <v>333</v>
      </c>
      <c r="F54" s="4" t="s">
        <v>10</v>
      </c>
      <c r="G54" s="4" t="s">
        <v>11</v>
      </c>
      <c r="H54" s="7" t="str">
        <f>HYPERLINK("http://apps.fcc.gov/ecfs/document/view?id=7520943410"," (1 page)")</f>
        <v> (1 page)</v>
      </c>
    </row>
    <row r="55" spans="1:12" ht="12.75">
      <c r="A55" t="s">
        <v>6</v>
      </c>
      <c r="B55" s="4" t="s">
        <v>1123</v>
      </c>
      <c r="C55" t="s">
        <v>8</v>
      </c>
      <c r="D55" t="s">
        <v>598</v>
      </c>
      <c r="E55" t="s">
        <v>1109</v>
      </c>
      <c r="F55" t="s">
        <v>10</v>
      </c>
      <c r="G55" t="s">
        <v>11</v>
      </c>
      <c r="H55" s="1" t="str">
        <f>HYPERLINK("http://apps.fcc.gov/ecfs/document/view?id=7520944648","  (2 pages)")</f>
        <v>  (2 pages)</v>
      </c>
      <c r="I55"/>
      <c r="J55"/>
      <c r="K55"/>
      <c r="L55"/>
    </row>
    <row r="56" spans="1:8" ht="12.75">
      <c r="A56" s="4" t="s">
        <v>6</v>
      </c>
      <c r="B56" s="4" t="s">
        <v>751</v>
      </c>
      <c r="C56" s="4" t="s">
        <v>8</v>
      </c>
      <c r="D56" s="4" t="s">
        <v>750</v>
      </c>
      <c r="E56" s="4" t="s">
        <v>738</v>
      </c>
      <c r="F56" s="4" t="s">
        <v>10</v>
      </c>
      <c r="G56" s="4" t="s">
        <v>11</v>
      </c>
      <c r="H56" s="7" t="str">
        <f>HYPERLINK("http://apps.fcc.gov/ecfs/document/view?id=7520940133"," (1 page)")</f>
        <v> (1 page)</v>
      </c>
    </row>
    <row r="57" spans="1:8" ht="12.75">
      <c r="A57" s="4" t="s">
        <v>6</v>
      </c>
      <c r="B57" s="4" t="s">
        <v>389</v>
      </c>
      <c r="C57" s="4" t="s">
        <v>8</v>
      </c>
      <c r="D57" s="4" t="s">
        <v>333</v>
      </c>
      <c r="E57" s="4" t="s">
        <v>333</v>
      </c>
      <c r="F57" s="4" t="s">
        <v>10</v>
      </c>
      <c r="G57" s="4" t="s">
        <v>11</v>
      </c>
      <c r="H57" s="7" t="str">
        <f>HYPERLINK("http://apps.fcc.gov/ecfs/document/view?id=7520943444","  (1 page)")</f>
        <v>  (1 page)</v>
      </c>
    </row>
    <row r="58" spans="1:8" ht="12.75">
      <c r="A58" s="4" t="s">
        <v>6</v>
      </c>
      <c r="B58" s="4" t="s">
        <v>585</v>
      </c>
      <c r="C58" s="4" t="s">
        <v>8</v>
      </c>
      <c r="D58" s="4" t="s">
        <v>524</v>
      </c>
      <c r="E58" s="4" t="s">
        <v>524</v>
      </c>
      <c r="F58" s="4" t="s">
        <v>10</v>
      </c>
      <c r="G58" s="4" t="s">
        <v>11</v>
      </c>
      <c r="H58" s="7" t="str">
        <f>HYPERLINK("http://apps.fcc.gov/ecfs/document/view?id=7520943080","  (1 page)")</f>
        <v>  (1 page)</v>
      </c>
    </row>
    <row r="59" spans="1:12" ht="12.75">
      <c r="A59" t="s">
        <v>6</v>
      </c>
      <c r="B59" s="4" t="s">
        <v>1151</v>
      </c>
      <c r="C59" t="s">
        <v>1131</v>
      </c>
      <c r="D59" t="s">
        <v>1070</v>
      </c>
      <c r="E59" t="s">
        <v>1109</v>
      </c>
      <c r="F59" t="s">
        <v>10</v>
      </c>
      <c r="G59" t="s">
        <v>11</v>
      </c>
      <c r="H59" s="1" t="str">
        <f>HYPERLINK("http://apps.fcc.gov/ecfs/document/view?id=7520944439","  (1 page)")</f>
        <v>  (1 page)</v>
      </c>
      <c r="I59"/>
      <c r="J59"/>
      <c r="K59"/>
      <c r="L59"/>
    </row>
    <row r="60" spans="1:8" ht="12.75">
      <c r="A60" s="4" t="s">
        <v>6</v>
      </c>
      <c r="B60" s="4" t="s">
        <v>887</v>
      </c>
      <c r="C60" s="4" t="s">
        <v>635</v>
      </c>
      <c r="D60" s="4" t="s">
        <v>598</v>
      </c>
      <c r="E60" s="4" t="s">
        <v>598</v>
      </c>
      <c r="F60" s="4" t="s">
        <v>10</v>
      </c>
      <c r="G60" s="4" t="s">
        <v>11</v>
      </c>
      <c r="H60" s="7" t="str">
        <f>HYPERLINK("http://apps.fcc.gov/ecfs/document/view?id=7520942891","Comment (1 page)")</f>
        <v>Comment (1 page)</v>
      </c>
    </row>
    <row r="61" spans="1:8" ht="12.75">
      <c r="A61" s="4" t="s">
        <v>6</v>
      </c>
      <c r="B61" s="4" t="s">
        <v>496</v>
      </c>
      <c r="C61" s="4" t="s">
        <v>8</v>
      </c>
      <c r="D61" s="4" t="s">
        <v>333</v>
      </c>
      <c r="E61" s="4" t="s">
        <v>333</v>
      </c>
      <c r="F61" s="4" t="s">
        <v>10</v>
      </c>
      <c r="G61" s="4" t="s">
        <v>11</v>
      </c>
      <c r="H61" s="7" t="str">
        <f>HYPERLINK("http://apps.fcc.gov/ecfs/document/view?id=7520943366"," (1 page)")</f>
        <v> (1 page)</v>
      </c>
    </row>
    <row r="62" spans="1:8" ht="12.75">
      <c r="A62" s="4" t="s">
        <v>6</v>
      </c>
      <c r="B62" s="4" t="s">
        <v>1041</v>
      </c>
      <c r="C62" s="4" t="s">
        <v>246</v>
      </c>
      <c r="D62" s="4" t="s">
        <v>9</v>
      </c>
      <c r="E62" s="4" t="s">
        <v>9</v>
      </c>
      <c r="F62" s="4" t="s">
        <v>10</v>
      </c>
      <c r="G62" s="4" t="s">
        <v>11</v>
      </c>
      <c r="H62" s="7" t="str">
        <f>HYPERLINK("http://apps.fcc.gov/ecfs/document/view?id=7520944245","  (1 page)")</f>
        <v>  (1 page)</v>
      </c>
    </row>
    <row r="63" spans="1:8" ht="12.75">
      <c r="A63" s="4" t="s">
        <v>6</v>
      </c>
      <c r="B63" s="4" t="s">
        <v>495</v>
      </c>
      <c r="C63" s="4" t="s">
        <v>8</v>
      </c>
      <c r="D63" s="4" t="s">
        <v>333</v>
      </c>
      <c r="E63" s="4" t="s">
        <v>333</v>
      </c>
      <c r="F63" s="4" t="s">
        <v>10</v>
      </c>
      <c r="G63" s="4" t="s">
        <v>11</v>
      </c>
      <c r="H63" s="7" t="str">
        <f>HYPERLINK("http://apps.fcc.gov/ecfs/document/view?id=7520943357"," (1 page)")</f>
        <v> (1 page)</v>
      </c>
    </row>
    <row r="64" spans="1:8" ht="12.75">
      <c r="A64" s="4" t="s">
        <v>6</v>
      </c>
      <c r="B64" s="4" t="s">
        <v>494</v>
      </c>
      <c r="C64" s="4" t="s">
        <v>8</v>
      </c>
      <c r="D64" s="4" t="s">
        <v>333</v>
      </c>
      <c r="E64" s="4" t="s">
        <v>333</v>
      </c>
      <c r="F64" s="4" t="s">
        <v>10</v>
      </c>
      <c r="G64" s="4" t="s">
        <v>11</v>
      </c>
      <c r="H64" s="7" t="str">
        <f>HYPERLINK("http://apps.fcc.gov/ecfs/document/view?id=7520943433","  (1 page)")</f>
        <v>  (1 page)</v>
      </c>
    </row>
    <row r="65" spans="1:8" ht="12.75">
      <c r="A65" s="4" t="s">
        <v>6</v>
      </c>
      <c r="B65" s="4" t="s">
        <v>308</v>
      </c>
      <c r="C65" s="4" t="s">
        <v>8</v>
      </c>
      <c r="D65" s="4" t="s">
        <v>21</v>
      </c>
      <c r="E65" s="4" t="s">
        <v>21</v>
      </c>
      <c r="F65" s="4" t="s">
        <v>10</v>
      </c>
      <c r="G65" s="4" t="s">
        <v>11</v>
      </c>
      <c r="H65" s="7" t="str">
        <f>HYPERLINK("http://apps.fcc.gov/ecfs/document/view?id=7520943818","  (2 pages)")</f>
        <v>  (2 pages)</v>
      </c>
    </row>
    <row r="66" spans="1:8" ht="12.75">
      <c r="A66" s="4" t="s">
        <v>6</v>
      </c>
      <c r="B66" s="4" t="s">
        <v>1002</v>
      </c>
      <c r="C66" s="4" t="s">
        <v>474</v>
      </c>
      <c r="D66" s="4" t="s">
        <v>333</v>
      </c>
      <c r="E66" s="4" t="s">
        <v>333</v>
      </c>
      <c r="F66" s="4" t="s">
        <v>10</v>
      </c>
      <c r="G66" s="4" t="s">
        <v>11</v>
      </c>
      <c r="H66" s="7" t="str">
        <f>HYPERLINK("http://apps.fcc.gov/ecfs/document/view?id=7520943403","  (1 page)")</f>
        <v>  (1 page)</v>
      </c>
    </row>
    <row r="67" spans="1:8" ht="12.75">
      <c r="A67" s="4" t="s">
        <v>6</v>
      </c>
      <c r="B67" s="4" t="s">
        <v>325</v>
      </c>
      <c r="C67" s="4" t="s">
        <v>8</v>
      </c>
      <c r="D67" s="4" t="s">
        <v>21</v>
      </c>
      <c r="E67" s="4" t="s">
        <v>21</v>
      </c>
      <c r="F67" s="4" t="s">
        <v>10</v>
      </c>
      <c r="G67" s="4" t="s">
        <v>11</v>
      </c>
      <c r="H67" s="7" t="str">
        <f>HYPERLINK("http://apps.fcc.gov/ecfs/document/view?id=7520943788","  (3 pages)")</f>
        <v>  (3 pages)</v>
      </c>
    </row>
    <row r="68" spans="1:12" ht="12.75">
      <c r="A68" t="s">
        <v>6</v>
      </c>
      <c r="B68" s="4" t="s">
        <v>1150</v>
      </c>
      <c r="C68" t="s">
        <v>1129</v>
      </c>
      <c r="D68" t="s">
        <v>1070</v>
      </c>
      <c r="E68" t="s">
        <v>1109</v>
      </c>
      <c r="F68" t="s">
        <v>10</v>
      </c>
      <c r="G68" t="s">
        <v>11</v>
      </c>
      <c r="H68" s="1" t="str">
        <f>HYPERLINK("http://apps.fcc.gov/ecfs/document/view?id=7520944442","  (1 page)")</f>
        <v>  (1 page)</v>
      </c>
      <c r="I68"/>
      <c r="J68"/>
      <c r="K68"/>
      <c r="L68"/>
    </row>
    <row r="69" spans="1:8" ht="12.75">
      <c r="A69" s="4" t="s">
        <v>6</v>
      </c>
      <c r="B69" s="4" t="s">
        <v>901</v>
      </c>
      <c r="C69" s="4" t="s">
        <v>512</v>
      </c>
      <c r="D69" s="4" t="s">
        <v>333</v>
      </c>
      <c r="E69" s="4" t="s">
        <v>333</v>
      </c>
      <c r="F69" s="4" t="s">
        <v>10</v>
      </c>
      <c r="G69" s="4" t="s">
        <v>11</v>
      </c>
      <c r="H69" s="7" t="str">
        <f>HYPERLINK("http://apps.fcc.gov/ecfs/document/view?id=7520943256","  (1 page)")</f>
        <v>  (1 page)</v>
      </c>
    </row>
    <row r="70" spans="1:8" ht="12.75">
      <c r="A70" s="4" t="s">
        <v>6</v>
      </c>
      <c r="B70" s="4" t="s">
        <v>584</v>
      </c>
      <c r="C70" s="4" t="s">
        <v>8</v>
      </c>
      <c r="D70" s="4" t="s">
        <v>524</v>
      </c>
      <c r="E70" s="4" t="s">
        <v>524</v>
      </c>
      <c r="F70" s="4" t="s">
        <v>10</v>
      </c>
      <c r="G70" s="4" t="s">
        <v>11</v>
      </c>
      <c r="H70" s="7" t="str">
        <f>HYPERLINK("http://apps.fcc.gov/ecfs/document/view?id=7520943072","  (1 page)")</f>
        <v>  (1 page)</v>
      </c>
    </row>
    <row r="71" spans="1:8" ht="12.75">
      <c r="A71" s="4" t="s">
        <v>6</v>
      </c>
      <c r="B71" s="4" t="s">
        <v>1048</v>
      </c>
      <c r="C71" s="4" t="s">
        <v>8</v>
      </c>
      <c r="D71" s="4" t="s">
        <v>598</v>
      </c>
      <c r="E71" s="4" t="s">
        <v>524</v>
      </c>
      <c r="F71" s="4" t="s">
        <v>10</v>
      </c>
      <c r="G71" s="4" t="s">
        <v>11</v>
      </c>
      <c r="H71" s="7" t="str">
        <f>HYPERLINK("http://apps.fcc.gov/ecfs/document/view?id=7520942967","  (1 page)")</f>
        <v>  (1 page)</v>
      </c>
    </row>
    <row r="72" spans="1:8" ht="12.75">
      <c r="A72" s="4" t="s">
        <v>6</v>
      </c>
      <c r="B72" s="4" t="s">
        <v>384</v>
      </c>
      <c r="C72" s="4" t="s">
        <v>8</v>
      </c>
      <c r="D72" s="4" t="s">
        <v>333</v>
      </c>
      <c r="E72" s="4" t="s">
        <v>21</v>
      </c>
      <c r="F72" s="4" t="s">
        <v>10</v>
      </c>
      <c r="G72" s="4" t="s">
        <v>11</v>
      </c>
      <c r="H72" s="7" t="str">
        <f>HYPERLINK("http://apps.fcc.gov/ecfs/document/view?id=7520943457","  (1 page)")</f>
        <v>  (1 page)</v>
      </c>
    </row>
    <row r="73" spans="1:8" ht="12.75">
      <c r="A73" s="4" t="s">
        <v>6</v>
      </c>
      <c r="B73" s="8" t="s">
        <v>1032</v>
      </c>
      <c r="C73" s="4" t="s">
        <v>238</v>
      </c>
      <c r="D73" s="4" t="s">
        <v>21</v>
      </c>
      <c r="E73" s="4" t="s">
        <v>9</v>
      </c>
      <c r="F73" s="4" t="s">
        <v>10</v>
      </c>
      <c r="G73" s="4" t="s">
        <v>11</v>
      </c>
      <c r="H73" s="7" t="str">
        <f>HYPERLINK("http://apps.fcc.gov/ecfs/document/view?id=7520944008","Bureau of Indian Affairs Education Comments (12 pages)")</f>
        <v>Bureau of Indian Affairs Education Comments (12 pages)</v>
      </c>
    </row>
    <row r="74" spans="1:12" ht="12.75">
      <c r="A74" t="s">
        <v>6</v>
      </c>
      <c r="B74" s="4" t="s">
        <v>1155</v>
      </c>
      <c r="C74" t="s">
        <v>1138</v>
      </c>
      <c r="D74" t="s">
        <v>1070</v>
      </c>
      <c r="E74" t="s">
        <v>1109</v>
      </c>
      <c r="F74" t="s">
        <v>10</v>
      </c>
      <c r="G74" t="s">
        <v>11</v>
      </c>
      <c r="H74" s="1" t="str">
        <f>HYPERLINK("http://apps.fcc.gov/ecfs/document/view?id=7520944447","  (1 page)")</f>
        <v>  (1 page)</v>
      </c>
      <c r="I74"/>
      <c r="J74"/>
      <c r="K74"/>
      <c r="L74"/>
    </row>
    <row r="75" spans="1:8" ht="12.75">
      <c r="A75" s="4" t="s">
        <v>6</v>
      </c>
      <c r="B75" s="4" t="s">
        <v>237</v>
      </c>
      <c r="C75" s="4" t="s">
        <v>8</v>
      </c>
      <c r="D75" s="4" t="s">
        <v>9</v>
      </c>
      <c r="E75" s="4" t="s">
        <v>9</v>
      </c>
      <c r="F75" s="4" t="s">
        <v>10</v>
      </c>
      <c r="G75" s="4" t="s">
        <v>11</v>
      </c>
      <c r="H75" s="7" t="str">
        <f>HYPERLINK("http://apps.fcc.gov/ecfs/document/view?id=7520944157","  (5 pages)")</f>
        <v>  (5 pages)</v>
      </c>
    </row>
    <row r="76" spans="1:9" ht="12.75">
      <c r="A76" s="4" t="s">
        <v>6</v>
      </c>
      <c r="B76" s="4" t="s">
        <v>990</v>
      </c>
      <c r="C76" s="4" t="s">
        <v>989</v>
      </c>
      <c r="D76" s="4" t="s">
        <v>21</v>
      </c>
      <c r="E76" s="4" t="s">
        <v>21</v>
      </c>
      <c r="F76" s="4" t="s">
        <v>10</v>
      </c>
      <c r="G76" s="4" t="s">
        <v>11</v>
      </c>
      <c r="H76" s="7" t="str">
        <f>HYPERLINK("http://apps.fcc.gov/ecfs/document/view?id=7520943774","District Comment on E Rate NPRM  (1 page)")</f>
        <v>District Comment on E Rate NPRM  (1 page)</v>
      </c>
      <c r="I76" s="7" t="str">
        <f>HYPERLINK("http://apps.fcc.gov/ecfs/document/view?id=7520943775","District Comment on E Rate NPRM  (1 page)")</f>
        <v>District Comment on E Rate NPRM  (1 page)</v>
      </c>
    </row>
    <row r="77" spans="1:8" ht="12.75">
      <c r="A77" s="4" t="s">
        <v>6</v>
      </c>
      <c r="B77" s="4" t="s">
        <v>883</v>
      </c>
      <c r="C77" s="4" t="s">
        <v>425</v>
      </c>
      <c r="D77" s="4" t="s">
        <v>333</v>
      </c>
      <c r="E77" s="4" t="s">
        <v>333</v>
      </c>
      <c r="F77" s="4" t="s">
        <v>10</v>
      </c>
      <c r="G77" s="4" t="s">
        <v>11</v>
      </c>
      <c r="H77" s="7" t="str">
        <f>HYPERLINK("http://apps.fcc.gov/ecfs/document/view?id=7520943360","CCSA NAPCS Letter (3 pages)")</f>
        <v>CCSA NAPCS Letter (3 pages)</v>
      </c>
    </row>
    <row r="78" spans="1:8" ht="12.75">
      <c r="A78" s="4" t="s">
        <v>6</v>
      </c>
      <c r="B78" s="4" t="s">
        <v>1102</v>
      </c>
      <c r="C78" s="4" t="s">
        <v>8</v>
      </c>
      <c r="D78" s="4" t="s">
        <v>21</v>
      </c>
      <c r="E78" s="4" t="s">
        <v>9</v>
      </c>
      <c r="F78" s="4" t="s">
        <v>10</v>
      </c>
      <c r="G78" s="4" t="s">
        <v>11</v>
      </c>
      <c r="H78" s="7" t="str">
        <f>HYPERLINK("http://apps.fcc.gov/ecfs/document/view?id=7520944042","  (3 pages)")</f>
        <v>  (3 pages)</v>
      </c>
    </row>
    <row r="79" spans="1:8" ht="12.75">
      <c r="A79" s="4" t="s">
        <v>6</v>
      </c>
      <c r="B79" s="4" t="s">
        <v>230</v>
      </c>
      <c r="C79" s="4" t="s">
        <v>8</v>
      </c>
      <c r="D79" s="4" t="s">
        <v>21</v>
      </c>
      <c r="E79" s="4" t="s">
        <v>9</v>
      </c>
      <c r="F79" s="4" t="s">
        <v>10</v>
      </c>
      <c r="G79" s="4" t="s">
        <v>11</v>
      </c>
      <c r="H79" s="7" t="str">
        <f>HYPERLINK("http://apps.fcc.gov/ecfs/document/view?id=7520944156","  (17 pages)")</f>
        <v>  (17 pages)</v>
      </c>
    </row>
    <row r="80" spans="1:8" ht="12" customHeight="1">
      <c r="A80" s="4" t="s">
        <v>6</v>
      </c>
      <c r="B80" s="4" t="s">
        <v>229</v>
      </c>
      <c r="C80" s="4" t="s">
        <v>8</v>
      </c>
      <c r="D80" s="4" t="s">
        <v>21</v>
      </c>
      <c r="E80" s="4" t="s">
        <v>9</v>
      </c>
      <c r="F80" s="4" t="s">
        <v>10</v>
      </c>
      <c r="G80" s="4" t="s">
        <v>11</v>
      </c>
      <c r="H80" s="7" t="str">
        <f>HYPERLINK("http://apps.fcc.gov/ecfs/document/view?id=7520944080","  (5 pages)")</f>
        <v>  (5 pages)</v>
      </c>
    </row>
    <row r="81" spans="1:8" ht="12.75">
      <c r="A81" s="4" t="s">
        <v>6</v>
      </c>
      <c r="B81" s="4" t="s">
        <v>1030</v>
      </c>
      <c r="C81" s="4" t="s">
        <v>493</v>
      </c>
      <c r="D81" s="4" t="s">
        <v>333</v>
      </c>
      <c r="E81" s="4" t="s">
        <v>333</v>
      </c>
      <c r="F81" s="4" t="s">
        <v>10</v>
      </c>
      <c r="G81" s="4" t="s">
        <v>11</v>
      </c>
      <c r="H81" s="7" t="str">
        <f>HYPERLINK("http://apps.fcc.gov/ecfs/document/view?id=7520943288","  (2 pages)")</f>
        <v>  (2 pages)</v>
      </c>
    </row>
    <row r="82" spans="1:8" ht="12.75">
      <c r="A82" s="4" t="s">
        <v>6</v>
      </c>
      <c r="B82" s="4" t="s">
        <v>902</v>
      </c>
      <c r="C82" s="4" t="s">
        <v>359</v>
      </c>
      <c r="D82" s="4" t="s">
        <v>333</v>
      </c>
      <c r="E82" s="4" t="s">
        <v>21</v>
      </c>
      <c r="F82" s="4" t="s">
        <v>10</v>
      </c>
      <c r="G82" s="4" t="s">
        <v>11</v>
      </c>
      <c r="H82" s="7" t="str">
        <f>HYPERLINK("http://apps.fcc.gov/ecfs/document/view?id=7520943480","Canutillo ISD Comment (1 page)")</f>
        <v>Canutillo ISD Comment (1 page)</v>
      </c>
    </row>
    <row r="83" spans="1:8" ht="12.75">
      <c r="A83" s="4" t="s">
        <v>6</v>
      </c>
      <c r="B83" s="4" t="s">
        <v>228</v>
      </c>
      <c r="C83" s="4" t="s">
        <v>8</v>
      </c>
      <c r="D83" s="4" t="s">
        <v>21</v>
      </c>
      <c r="E83" s="4" t="s">
        <v>9</v>
      </c>
      <c r="F83" s="4" t="s">
        <v>10</v>
      </c>
      <c r="G83" s="4" t="s">
        <v>11</v>
      </c>
      <c r="H83" s="7" t="str">
        <f>HYPERLINK("http://apps.fcc.gov/ecfs/document/view?id=7520944040","  (4 pages)")</f>
        <v>  (4 pages)</v>
      </c>
    </row>
    <row r="84" spans="1:8" ht="12.75">
      <c r="A84" s="4" t="s">
        <v>6</v>
      </c>
      <c r="B84" s="4" t="s">
        <v>382</v>
      </c>
      <c r="C84" s="4" t="s">
        <v>8</v>
      </c>
      <c r="D84" s="4" t="s">
        <v>21</v>
      </c>
      <c r="E84" s="4" t="s">
        <v>21</v>
      </c>
      <c r="F84" s="4" t="s">
        <v>10</v>
      </c>
      <c r="G84" s="4" t="s">
        <v>11</v>
      </c>
      <c r="H84" s="7" t="str">
        <f>HYPERLINK("http://apps.fcc.gov/ecfs/document/view?id=7520943687"," (1 page)")</f>
        <v> (1 page)</v>
      </c>
    </row>
    <row r="85" spans="1:8" ht="12.75">
      <c r="A85" s="4" t="s">
        <v>6</v>
      </c>
      <c r="B85" s="4" t="s">
        <v>381</v>
      </c>
      <c r="C85" s="4" t="s">
        <v>8</v>
      </c>
      <c r="D85" s="4" t="s">
        <v>21</v>
      </c>
      <c r="E85" s="4" t="s">
        <v>21</v>
      </c>
      <c r="F85" s="4" t="s">
        <v>10</v>
      </c>
      <c r="G85" s="4" t="s">
        <v>11</v>
      </c>
      <c r="H85" s="7" t="str">
        <f>HYPERLINK("http://apps.fcc.gov/ecfs/document/view?id=7520943658","  (9 pages)")</f>
        <v>  (9 pages)</v>
      </c>
    </row>
    <row r="86" spans="1:8" ht="12.75">
      <c r="A86" s="4" t="s">
        <v>6</v>
      </c>
      <c r="B86" s="4" t="s">
        <v>19</v>
      </c>
      <c r="C86" s="4" t="s">
        <v>8</v>
      </c>
      <c r="D86" s="4" t="s">
        <v>9</v>
      </c>
      <c r="E86" s="4" t="s">
        <v>9</v>
      </c>
      <c r="F86" s="4" t="s">
        <v>10</v>
      </c>
      <c r="G86" s="4" t="s">
        <v>11</v>
      </c>
      <c r="H86" s="7" t="str">
        <f>HYPERLINK("http://apps.fcc.gov/ecfs/document/view?id=7520944266","  (1 page)")</f>
        <v>  (1 page)</v>
      </c>
    </row>
    <row r="87" spans="1:12" ht="12.75">
      <c r="A87" t="s">
        <v>6</v>
      </c>
      <c r="B87" s="4" t="s">
        <v>1142</v>
      </c>
      <c r="C87" t="s">
        <v>8</v>
      </c>
      <c r="D87" t="s">
        <v>1070</v>
      </c>
      <c r="E87" t="s">
        <v>1109</v>
      </c>
      <c r="F87" t="s">
        <v>10</v>
      </c>
      <c r="G87" t="s">
        <v>11</v>
      </c>
      <c r="H87" s="1" t="str">
        <f>HYPERLINK("http://apps.fcc.gov/ecfs/document/view?id=7520944450","  (1 page)")</f>
        <v>  (1 page)</v>
      </c>
      <c r="I87"/>
      <c r="J87"/>
      <c r="K87"/>
      <c r="L87"/>
    </row>
    <row r="88" spans="1:8" ht="12.75">
      <c r="A88" s="4" t="s">
        <v>6</v>
      </c>
      <c r="B88" s="4" t="s">
        <v>491</v>
      </c>
      <c r="C88" s="4" t="s">
        <v>8</v>
      </c>
      <c r="D88" s="4" t="s">
        <v>333</v>
      </c>
      <c r="E88" s="4" t="s">
        <v>333</v>
      </c>
      <c r="F88" s="4" t="s">
        <v>10</v>
      </c>
      <c r="G88" s="4" t="s">
        <v>11</v>
      </c>
      <c r="H88" s="7" t="str">
        <f>HYPERLINK("http://apps.fcc.gov/ecfs/document/view?id=7520943327","  (1 page)")</f>
        <v>  (1 page)</v>
      </c>
    </row>
    <row r="89" spans="1:9" ht="12.75">
      <c r="A89" s="4" t="s">
        <v>6</v>
      </c>
      <c r="B89" s="4" t="s">
        <v>811</v>
      </c>
      <c r="C89" s="4" t="s">
        <v>740</v>
      </c>
      <c r="D89" s="4" t="s">
        <v>738</v>
      </c>
      <c r="E89" s="4" t="s">
        <v>738</v>
      </c>
      <c r="F89" s="4" t="s">
        <v>10</v>
      </c>
      <c r="G89" s="4" t="s">
        <v>11</v>
      </c>
      <c r="H89" s="7" t="str">
        <f>HYPERLINK("http://apps.fcc.gov/ecfs/document/view?id=7520940229","e rate (2 pages)")</f>
        <v>e rate (2 pages)</v>
      </c>
      <c r="I89" s="7"/>
    </row>
    <row r="90" spans="1:8" ht="12.75">
      <c r="A90" s="4" t="s">
        <v>6</v>
      </c>
      <c r="B90" s="4" t="s">
        <v>931</v>
      </c>
      <c r="C90" s="4" t="s">
        <v>282</v>
      </c>
      <c r="D90" s="4" t="s">
        <v>21</v>
      </c>
      <c r="E90" s="4" t="s">
        <v>21</v>
      </c>
      <c r="F90" s="4" t="s">
        <v>10</v>
      </c>
      <c r="G90" s="4" t="s">
        <v>11</v>
      </c>
      <c r="H90" s="7" t="str">
        <f>HYPERLINK("http://apps.fcc.gov/ecfs/document/view?id=7520943858","  (1 page)")</f>
        <v>  (1 page)</v>
      </c>
    </row>
    <row r="91" spans="1:8" ht="12.75">
      <c r="A91" s="4" t="s">
        <v>6</v>
      </c>
      <c r="B91" s="4" t="s">
        <v>488</v>
      </c>
      <c r="C91" s="4" t="s">
        <v>8</v>
      </c>
      <c r="D91" s="4" t="s">
        <v>333</v>
      </c>
      <c r="E91" s="4" t="s">
        <v>333</v>
      </c>
      <c r="F91" s="4" t="s">
        <v>10</v>
      </c>
      <c r="G91" s="4" t="s">
        <v>11</v>
      </c>
      <c r="H91" s="7" t="str">
        <f>HYPERLINK("http://apps.fcc.gov/ecfs/document/view?id=7520943330","  (1 page)")</f>
        <v>  (1 page)</v>
      </c>
    </row>
    <row r="92" spans="1:8" ht="12.75">
      <c r="A92" s="4" t="s">
        <v>6</v>
      </c>
      <c r="B92" s="4" t="s">
        <v>235</v>
      </c>
      <c r="C92" s="4" t="s">
        <v>8</v>
      </c>
      <c r="D92" s="4" t="s">
        <v>9</v>
      </c>
      <c r="E92" s="4" t="s">
        <v>9</v>
      </c>
      <c r="F92" s="4" t="s">
        <v>10</v>
      </c>
      <c r="G92" s="4" t="s">
        <v>11</v>
      </c>
      <c r="H92" s="7" t="str">
        <f>HYPERLINK("http://apps.fcc.gov/ecfs/document/view?id=7520944196","  (5 pages)")</f>
        <v>  (5 pages)</v>
      </c>
    </row>
    <row r="93" spans="1:8" ht="12.75">
      <c r="A93" s="4" t="s">
        <v>6</v>
      </c>
      <c r="B93" s="4" t="s">
        <v>979</v>
      </c>
      <c r="C93" s="4" t="s">
        <v>545</v>
      </c>
      <c r="D93" s="4" t="s">
        <v>524</v>
      </c>
      <c r="E93" s="4" t="s">
        <v>333</v>
      </c>
      <c r="F93" s="4" t="s">
        <v>10</v>
      </c>
      <c r="G93" s="4" t="s">
        <v>11</v>
      </c>
      <c r="H93" s="7" t="str">
        <f>HYPERLINK("http://apps.fcc.gov/ecfs/document/view?id=7520943207","Commentary on E rate changes in PDF format (1 page)")</f>
        <v>Commentary on E rate changes in PDF format (1 page)</v>
      </c>
    </row>
    <row r="94" spans="1:8" ht="12.75">
      <c r="A94" s="4" t="s">
        <v>6</v>
      </c>
      <c r="B94" s="4" t="s">
        <v>226</v>
      </c>
      <c r="C94" s="4" t="s">
        <v>8</v>
      </c>
      <c r="D94" s="4" t="s">
        <v>21</v>
      </c>
      <c r="E94" s="4" t="s">
        <v>9</v>
      </c>
      <c r="F94" s="4" t="s">
        <v>10</v>
      </c>
      <c r="G94" s="4" t="s">
        <v>11</v>
      </c>
      <c r="H94" s="7" t="str">
        <f>HYPERLINK("http://apps.fcc.gov/ecfs/document/view?id=7520944000","  (40 pages)")</f>
        <v>  (40 pages)</v>
      </c>
    </row>
    <row r="95" spans="1:8" ht="12.75">
      <c r="A95" s="4" t="s">
        <v>6</v>
      </c>
      <c r="B95" s="4" t="s">
        <v>487</v>
      </c>
      <c r="C95" s="4" t="s">
        <v>8</v>
      </c>
      <c r="D95" s="4" t="s">
        <v>333</v>
      </c>
      <c r="E95" s="4" t="s">
        <v>333</v>
      </c>
      <c r="F95" s="4" t="s">
        <v>10</v>
      </c>
      <c r="G95" s="4" t="s">
        <v>11</v>
      </c>
      <c r="H95" s="7" t="str">
        <f>HYPERLINK("http://apps.fcc.gov/ecfs/document/view?id=7520943304","  (1 page)")</f>
        <v>  (1 page)</v>
      </c>
    </row>
    <row r="96" spans="1:8" ht="12.75">
      <c r="A96" s="4" t="s">
        <v>6</v>
      </c>
      <c r="B96" s="4" t="s">
        <v>486</v>
      </c>
      <c r="C96" s="4" t="s">
        <v>8</v>
      </c>
      <c r="D96" s="4" t="s">
        <v>333</v>
      </c>
      <c r="E96" s="4" t="s">
        <v>333</v>
      </c>
      <c r="F96" s="4" t="s">
        <v>10</v>
      </c>
      <c r="G96" s="4" t="s">
        <v>11</v>
      </c>
      <c r="H96" s="7" t="str">
        <f>HYPERLINK("http://apps.fcc.gov/ecfs/document/view?id=7520943297","  (1 page)")</f>
        <v>  (1 page)</v>
      </c>
    </row>
    <row r="97" spans="1:8" ht="12.75">
      <c r="A97" s="4" t="s">
        <v>6</v>
      </c>
      <c r="B97" s="4" t="s">
        <v>1035</v>
      </c>
      <c r="C97" s="4" t="s">
        <v>596</v>
      </c>
      <c r="D97" s="4" t="s">
        <v>524</v>
      </c>
      <c r="E97" s="4" t="s">
        <v>524</v>
      </c>
      <c r="F97" s="4" t="s">
        <v>10</v>
      </c>
      <c r="G97" s="4" t="s">
        <v>11</v>
      </c>
      <c r="H97" s="7" t="str">
        <f>HYPERLINK("http://apps.fcc.gov/ecfs/document/view?id=7520943029","Comment (1 page)")</f>
        <v>Comment (1 page)</v>
      </c>
    </row>
    <row r="98" spans="1:8" ht="12.75">
      <c r="A98" s="4" t="s">
        <v>6</v>
      </c>
      <c r="B98" s="4" t="s">
        <v>912</v>
      </c>
      <c r="C98" s="4" t="s">
        <v>611</v>
      </c>
      <c r="D98" s="4" t="s">
        <v>598</v>
      </c>
      <c r="E98" s="4" t="s">
        <v>524</v>
      </c>
      <c r="F98" s="4" t="s">
        <v>10</v>
      </c>
      <c r="G98" s="4" t="s">
        <v>11</v>
      </c>
      <c r="H98" s="1" t="str">
        <f>HYPERLINK("http://apps.fcc.gov/ecfs/document/view?id=7520944446","  (1 page)")</f>
        <v>  (1 page)</v>
      </c>
    </row>
    <row r="99" spans="1:8" ht="12.75">
      <c r="A99" s="4" t="s">
        <v>6</v>
      </c>
      <c r="B99" s="4" t="s">
        <v>949</v>
      </c>
      <c r="C99" s="4" t="s">
        <v>454</v>
      </c>
      <c r="D99" s="4" t="s">
        <v>333</v>
      </c>
      <c r="E99" s="4" t="s">
        <v>333</v>
      </c>
      <c r="F99" s="4" t="s">
        <v>10</v>
      </c>
      <c r="G99" s="4" t="s">
        <v>11</v>
      </c>
      <c r="H99" s="7" t="str">
        <f>HYPERLINK("http://apps.fcc.gov/ecfs/document/view?id=7520943428","  (1 page)")</f>
        <v>  (1 page)</v>
      </c>
    </row>
    <row r="100" spans="1:8" ht="12.75">
      <c r="A100" s="4" t="s">
        <v>6</v>
      </c>
      <c r="B100" s="4" t="s">
        <v>225</v>
      </c>
      <c r="C100" s="4" t="s">
        <v>8</v>
      </c>
      <c r="D100" s="4" t="s">
        <v>21</v>
      </c>
      <c r="E100" s="4" t="s">
        <v>9</v>
      </c>
      <c r="F100" s="4" t="s">
        <v>10</v>
      </c>
      <c r="G100" s="4" t="s">
        <v>11</v>
      </c>
      <c r="H100" s="7" t="str">
        <f>HYPERLINK("http://apps.fcc.gov/ecfs/document/view?id=7520944131","Comments in Response to the Notice of Proposed Rulemaking (8 pages)")</f>
        <v>Comments in Response to the Notice of Proposed Rulemaking (8 pages)</v>
      </c>
    </row>
    <row r="101" spans="1:8" ht="12.75">
      <c r="A101" s="4" t="s">
        <v>6</v>
      </c>
      <c r="B101" s="4" t="s">
        <v>224</v>
      </c>
      <c r="C101" s="4" t="s">
        <v>8</v>
      </c>
      <c r="D101" s="4" t="s">
        <v>9</v>
      </c>
      <c r="E101" s="4" t="s">
        <v>9</v>
      </c>
      <c r="F101" s="4" t="s">
        <v>10</v>
      </c>
      <c r="G101" s="4" t="s">
        <v>11</v>
      </c>
      <c r="H101" s="7" t="str">
        <f>HYPERLINK("http://apps.fcc.gov/ecfs/document/view?id=7520944255","  (1 page)")</f>
        <v>  (1 page)</v>
      </c>
    </row>
    <row r="102" spans="1:8" ht="12.75">
      <c r="A102" s="4" t="s">
        <v>6</v>
      </c>
      <c r="B102" s="4" t="s">
        <v>222</v>
      </c>
      <c r="C102" s="4" t="s">
        <v>8</v>
      </c>
      <c r="D102" s="4" t="s">
        <v>9</v>
      </c>
      <c r="E102" s="4" t="s">
        <v>9</v>
      </c>
      <c r="F102" s="4" t="s">
        <v>10</v>
      </c>
      <c r="G102" s="4" t="s">
        <v>11</v>
      </c>
      <c r="H102" s="7" t="str">
        <f>HYPERLINK("http://apps.fcc.gov/ecfs/document/view?id=7520944224","  (1 page)")</f>
        <v>  (1 page)</v>
      </c>
    </row>
    <row r="103" spans="1:8" ht="12.75">
      <c r="A103" s="4" t="s">
        <v>6</v>
      </c>
      <c r="B103" s="4" t="s">
        <v>893</v>
      </c>
      <c r="C103" s="4" t="s">
        <v>892</v>
      </c>
      <c r="D103" s="4" t="s">
        <v>21</v>
      </c>
      <c r="E103" s="4" t="s">
        <v>21</v>
      </c>
      <c r="F103" s="4" t="s">
        <v>10</v>
      </c>
      <c r="G103" s="4" t="s">
        <v>11</v>
      </c>
      <c r="H103" s="7" t="str">
        <f>HYPERLINK("http://apps.fcc.gov/ecfs/document/view?id=7520943792","  (2 pages)")</f>
        <v>  (2 pages)</v>
      </c>
    </row>
    <row r="104" spans="1:8" ht="12.75">
      <c r="A104" s="4" t="s">
        <v>6</v>
      </c>
      <c r="B104" s="4" t="s">
        <v>522</v>
      </c>
      <c r="C104" s="4" t="s">
        <v>8</v>
      </c>
      <c r="D104" s="4" t="s">
        <v>333</v>
      </c>
      <c r="E104" s="4" t="s">
        <v>333</v>
      </c>
      <c r="F104" s="4" t="s">
        <v>10</v>
      </c>
      <c r="G104" s="4" t="s">
        <v>11</v>
      </c>
      <c r="H104" s="7" t="str">
        <f>HYPERLINK("http://apps.fcc.gov/ecfs/document/view?id=7520943269","  (1 page)")</f>
        <v>  (1 page)</v>
      </c>
    </row>
    <row r="105" spans="1:8" ht="12.75">
      <c r="A105" s="4" t="s">
        <v>6</v>
      </c>
      <c r="B105" s="4" t="s">
        <v>919</v>
      </c>
      <c r="C105" s="4" t="s">
        <v>535</v>
      </c>
      <c r="D105" s="4" t="s">
        <v>333</v>
      </c>
      <c r="E105" s="4" t="s">
        <v>333</v>
      </c>
      <c r="F105" s="4" t="s">
        <v>10</v>
      </c>
      <c r="G105" s="4" t="s">
        <v>11</v>
      </c>
      <c r="H105" s="7" t="str">
        <f>HYPERLINK("http://apps.fcc.gov/ecfs/document/view?id=7520943229"," (2 pages)")</f>
        <v> (2 pages)</v>
      </c>
    </row>
    <row r="106" spans="1:8" ht="12.75">
      <c r="A106" s="4" t="s">
        <v>6</v>
      </c>
      <c r="B106" s="4" t="s">
        <v>220</v>
      </c>
      <c r="C106" s="4" t="s">
        <v>8</v>
      </c>
      <c r="D106" s="4" t="s">
        <v>21</v>
      </c>
      <c r="E106" s="4" t="s">
        <v>9</v>
      </c>
      <c r="F106" s="4" t="s">
        <v>10</v>
      </c>
      <c r="G106" s="4" t="s">
        <v>11</v>
      </c>
      <c r="H106" s="7" t="str">
        <f>HYPERLINK("http://apps.fcc.gov/ecfs/document/view?id=7520944003","  (76 pages)")</f>
        <v>  (76 pages)</v>
      </c>
    </row>
    <row r="107" spans="1:8" ht="12.75">
      <c r="A107" s="4" t="s">
        <v>6</v>
      </c>
      <c r="B107" s="4" t="s">
        <v>218</v>
      </c>
      <c r="C107" s="4" t="s">
        <v>219</v>
      </c>
      <c r="D107" s="4" t="s">
        <v>21</v>
      </c>
      <c r="E107" s="4" t="s">
        <v>9</v>
      </c>
      <c r="F107" s="4" t="s">
        <v>10</v>
      </c>
      <c r="G107" s="4" t="s">
        <v>11</v>
      </c>
      <c r="H107" s="7" t="str">
        <f>HYPERLINK("http://apps.fcc.gov/ecfs/document/view?id=7520943957","  (10 pages)")</f>
        <v>  (10 pages)</v>
      </c>
    </row>
    <row r="108" spans="1:8" ht="12.75">
      <c r="A108" s="4" t="s">
        <v>6</v>
      </c>
      <c r="B108" s="4" t="s">
        <v>217</v>
      </c>
      <c r="C108" s="4" t="s">
        <v>8</v>
      </c>
      <c r="D108" s="4" t="s">
        <v>21</v>
      </c>
      <c r="E108" s="4" t="s">
        <v>9</v>
      </c>
      <c r="F108" s="4" t="s">
        <v>10</v>
      </c>
      <c r="G108" s="4" t="s">
        <v>11</v>
      </c>
      <c r="H108" s="7" t="str">
        <f>HYPERLINK("http://apps.fcc.gov/ecfs/document/view?id=7520943948","  (13 pages)")</f>
        <v>  (13 pages)</v>
      </c>
    </row>
    <row r="109" spans="1:8" ht="12.75">
      <c r="A109" s="4" t="s">
        <v>6</v>
      </c>
      <c r="B109" s="4" t="s">
        <v>216</v>
      </c>
      <c r="C109" s="4" t="s">
        <v>8</v>
      </c>
      <c r="D109" s="4" t="s">
        <v>21</v>
      </c>
      <c r="E109" s="4" t="s">
        <v>9</v>
      </c>
      <c r="F109" s="4" t="s">
        <v>10</v>
      </c>
      <c r="G109" s="4" t="s">
        <v>11</v>
      </c>
      <c r="H109" s="7" t="str">
        <f>HYPERLINK("http://apps.fcc.gov/ecfs/document/view?id=7520944013","Clark County School District Response (28 pages)")</f>
        <v>Clark County School District Response (28 pages)</v>
      </c>
    </row>
    <row r="110" spans="1:8" ht="12.75">
      <c r="A110" s="4" t="s">
        <v>6</v>
      </c>
      <c r="B110" s="4" t="s">
        <v>863</v>
      </c>
      <c r="C110" s="4" t="s">
        <v>82</v>
      </c>
      <c r="D110" s="4" t="s">
        <v>21</v>
      </c>
      <c r="E110" s="4" t="s">
        <v>9</v>
      </c>
      <c r="F110" s="4" t="s">
        <v>10</v>
      </c>
      <c r="G110" s="4" t="s">
        <v>11</v>
      </c>
      <c r="H110" s="7" t="str">
        <f>HYPERLINK("http://apps.fcc.gov/ecfs/document/view?id=7520944123","  (1 page)")</f>
        <v>  (1 page)</v>
      </c>
    </row>
    <row r="111" spans="1:8" ht="12.75">
      <c r="A111" s="4" t="s">
        <v>6</v>
      </c>
      <c r="B111" s="4" t="s">
        <v>981</v>
      </c>
      <c r="C111" s="4" t="s">
        <v>580</v>
      </c>
      <c r="D111" s="4" t="s">
        <v>524</v>
      </c>
      <c r="E111" s="4" t="s">
        <v>524</v>
      </c>
      <c r="F111" s="4" t="s">
        <v>10</v>
      </c>
      <c r="G111" s="4" t="s">
        <v>11</v>
      </c>
      <c r="H111" s="7" t="str">
        <f>HYPERLINK("http://apps.fcc.gov/ecfs/document/view?id=7520943101","Clay County School System comment on E Rate NPRM (1 page)")</f>
        <v>Clay County School System comment on E Rate NPRM (1 page)</v>
      </c>
    </row>
    <row r="112" spans="1:8" ht="12.75">
      <c r="A112" s="4" t="s">
        <v>6</v>
      </c>
      <c r="B112" s="4" t="s">
        <v>1046</v>
      </c>
      <c r="C112" s="4" t="s">
        <v>501</v>
      </c>
      <c r="D112" s="4" t="s">
        <v>333</v>
      </c>
      <c r="E112" s="4" t="s">
        <v>333</v>
      </c>
      <c r="F112" s="4" t="s">
        <v>10</v>
      </c>
      <c r="G112" s="4" t="s">
        <v>11</v>
      </c>
      <c r="H112" s="7" t="str">
        <f>HYPERLINK("http://apps.fcc.gov/ecfs/document/view?id=7520943409","  (1 page)")</f>
        <v>  (1 page)</v>
      </c>
    </row>
    <row r="113" spans="1:12" ht="12.75">
      <c r="A113" t="s">
        <v>6</v>
      </c>
      <c r="B113" s="4" t="s">
        <v>1146</v>
      </c>
      <c r="C113" t="s">
        <v>1113</v>
      </c>
      <c r="D113" t="s">
        <v>1109</v>
      </c>
      <c r="E113" t="s">
        <v>1109</v>
      </c>
      <c r="F113" t="s">
        <v>10</v>
      </c>
      <c r="G113" t="s">
        <v>11</v>
      </c>
      <c r="H113" s="1" t="str">
        <f>HYPERLINK("http://apps.fcc.gov/ecfs/document/view?id=7520944716","  (1 page)")</f>
        <v>  (1 page)</v>
      </c>
      <c r="I113"/>
      <c r="J113"/>
      <c r="K113"/>
      <c r="L113"/>
    </row>
    <row r="114" spans="1:8" ht="12.75">
      <c r="A114" s="4" t="s">
        <v>6</v>
      </c>
      <c r="B114" s="4" t="s">
        <v>1064</v>
      </c>
      <c r="C114" s="4" t="s">
        <v>8</v>
      </c>
      <c r="D114" s="4" t="s">
        <v>652</v>
      </c>
      <c r="E114" s="4" t="s">
        <v>598</v>
      </c>
      <c r="F114" s="4" t="s">
        <v>10</v>
      </c>
      <c r="G114" s="4" t="s">
        <v>11</v>
      </c>
      <c r="H114" s="7" t="str">
        <f>HYPERLINK("http://apps.fcc.gov/ecfs/document/view?id=7520942841"," (1 page)")</f>
        <v> (1 page)</v>
      </c>
    </row>
    <row r="115" spans="1:8" ht="12.75">
      <c r="A115" s="4" t="s">
        <v>6</v>
      </c>
      <c r="B115" s="4" t="s">
        <v>1039</v>
      </c>
      <c r="C115" s="4" t="s">
        <v>647</v>
      </c>
      <c r="D115" s="4" t="s">
        <v>598</v>
      </c>
      <c r="E115" s="4" t="s">
        <v>598</v>
      </c>
      <c r="F115" s="4" t="s">
        <v>10</v>
      </c>
      <c r="G115" s="4" t="s">
        <v>11</v>
      </c>
      <c r="H115" s="7" t="str">
        <f>HYPERLINK("http://apps.fcc.gov/ecfs/document/view?id=7520942879","FCC Plea (2 pages)")</f>
        <v>FCC Plea (2 pages)</v>
      </c>
    </row>
    <row r="116" spans="1:8" ht="12.75">
      <c r="A116" s="4" t="s">
        <v>6</v>
      </c>
      <c r="B116" s="4" t="s">
        <v>624</v>
      </c>
      <c r="C116" s="4" t="s">
        <v>8</v>
      </c>
      <c r="D116" s="4" t="s">
        <v>598</v>
      </c>
      <c r="E116" s="4" t="s">
        <v>524</v>
      </c>
      <c r="F116" s="4" t="s">
        <v>10</v>
      </c>
      <c r="G116" s="4" t="s">
        <v>11</v>
      </c>
      <c r="H116" s="7" t="str">
        <f>HYPERLINK("http://apps.fcc.gov/ecfs/document/view?id=7520942943","Clinton USD Comment on MPRM Changes to Email and Web Hosting (1 page)")</f>
        <v>Clinton USD Comment on MPRM Changes to Email and Web Hosting (1 page)</v>
      </c>
    </row>
    <row r="117" spans="1:8" ht="12.75">
      <c r="A117" s="4" t="s">
        <v>6</v>
      </c>
      <c r="B117" s="4" t="s">
        <v>861</v>
      </c>
      <c r="C117" s="4" t="s">
        <v>413</v>
      </c>
      <c r="D117" s="4" t="s">
        <v>333</v>
      </c>
      <c r="E117" s="4" t="s">
        <v>333</v>
      </c>
      <c r="F117" s="4" t="s">
        <v>10</v>
      </c>
      <c r="G117" s="4" t="s">
        <v>11</v>
      </c>
      <c r="H117" s="7" t="str">
        <f>HYPERLINK("http://apps.fcc.gov/ecfs/document/view?id=7520943385","  (1 page)")</f>
        <v>  (1 page)</v>
      </c>
    </row>
    <row r="118" spans="1:8" ht="12.75">
      <c r="A118" s="4" t="s">
        <v>6</v>
      </c>
      <c r="B118" s="4" t="s">
        <v>954</v>
      </c>
      <c r="C118" s="4" t="s">
        <v>617</v>
      </c>
      <c r="D118" s="4" t="s">
        <v>598</v>
      </c>
      <c r="E118" s="4" t="s">
        <v>524</v>
      </c>
      <c r="F118" s="4" t="s">
        <v>10</v>
      </c>
      <c r="G118" s="4" t="s">
        <v>11</v>
      </c>
      <c r="H118" s="7" t="str">
        <f>HYPERLINK("http://apps.fcc.gov/ecfs/document/view?id=7520942990","Coeur d Alene School District Comments (1 page)")</f>
        <v>Coeur d Alene School District Comments (1 page)</v>
      </c>
    </row>
    <row r="119" spans="1:8" ht="12.75">
      <c r="A119" s="4" t="s">
        <v>6</v>
      </c>
      <c r="B119" s="4" t="s">
        <v>215</v>
      </c>
      <c r="C119" s="4" t="s">
        <v>8</v>
      </c>
      <c r="D119" s="4" t="s">
        <v>21</v>
      </c>
      <c r="E119" s="4" t="s">
        <v>9</v>
      </c>
      <c r="F119" s="4" t="s">
        <v>10</v>
      </c>
      <c r="G119" s="4" t="s">
        <v>11</v>
      </c>
      <c r="H119" s="7" t="str">
        <f>HYPERLINK("http://apps.fcc.gov/ecfs/document/view?id=7520944053","  (5 pages)")</f>
        <v>  (5 pages)</v>
      </c>
    </row>
    <row r="120" spans="1:8" ht="12.75">
      <c r="A120" s="4" t="s">
        <v>6</v>
      </c>
      <c r="B120" s="4" t="s">
        <v>942</v>
      </c>
      <c r="C120" s="4" t="s">
        <v>155</v>
      </c>
      <c r="D120" s="4" t="s">
        <v>21</v>
      </c>
      <c r="E120" s="4" t="s">
        <v>9</v>
      </c>
      <c r="F120" s="4" t="s">
        <v>10</v>
      </c>
      <c r="G120" s="4" t="s">
        <v>11</v>
      </c>
      <c r="H120" s="7" t="str">
        <f>HYPERLINK("http://apps.fcc.gov/ecfs/document/view?id=7520944094","  (2 pages)")</f>
        <v>  (2 pages)</v>
      </c>
    </row>
    <row r="121" spans="1:8" ht="12.75">
      <c r="A121" s="4" t="s">
        <v>6</v>
      </c>
      <c r="B121" s="4" t="s">
        <v>997</v>
      </c>
      <c r="C121" s="4" t="s">
        <v>473</v>
      </c>
      <c r="D121" s="4" t="s">
        <v>333</v>
      </c>
      <c r="E121" s="4" t="s">
        <v>333</v>
      </c>
      <c r="F121" s="4" t="s">
        <v>10</v>
      </c>
      <c r="G121" s="4" t="s">
        <v>11</v>
      </c>
      <c r="H121" s="7" t="str">
        <f>HYPERLINK("http://apps.fcc.gov/ecfs/document/view?id=7520943435","  (1 page)")</f>
        <v>  (1 page)</v>
      </c>
    </row>
    <row r="122" spans="1:8" ht="12.75">
      <c r="A122" s="4" t="s">
        <v>6</v>
      </c>
      <c r="B122" s="4" t="s">
        <v>929</v>
      </c>
      <c r="C122" s="4" t="s">
        <v>146</v>
      </c>
      <c r="D122" s="4" t="s">
        <v>21</v>
      </c>
      <c r="E122" s="4" t="s">
        <v>9</v>
      </c>
      <c r="F122" s="4" t="s">
        <v>10</v>
      </c>
      <c r="G122" s="4" t="s">
        <v>11</v>
      </c>
      <c r="H122" s="7" t="str">
        <f>HYPERLINK("http://apps.fcc.gov/ecfs/document/view?id=7520944063","  (1 page)")</f>
        <v>  (1 page)</v>
      </c>
    </row>
    <row r="123" spans="1:8" ht="12.75">
      <c r="A123" s="4" t="s">
        <v>6</v>
      </c>
      <c r="B123" s="4" t="s">
        <v>695</v>
      </c>
      <c r="C123" s="4" t="s">
        <v>8</v>
      </c>
      <c r="D123" s="4" t="s">
        <v>673</v>
      </c>
      <c r="E123" s="4" t="s">
        <v>673</v>
      </c>
      <c r="F123" s="4" t="s">
        <v>10</v>
      </c>
      <c r="G123" s="4" t="s">
        <v>11</v>
      </c>
      <c r="H123" s="7" t="str">
        <f>HYPERLINK("http://apps.fcc.gov/ecfs/document/view?id=7520942517"," (1 page)")</f>
        <v> (1 page)</v>
      </c>
    </row>
    <row r="124" spans="1:8" ht="12.75">
      <c r="A124" s="4" t="s">
        <v>6</v>
      </c>
      <c r="B124" s="4" t="s">
        <v>213</v>
      </c>
      <c r="C124" s="4" t="s">
        <v>214</v>
      </c>
      <c r="D124" s="4" t="s">
        <v>21</v>
      </c>
      <c r="E124" s="4" t="s">
        <v>9</v>
      </c>
      <c r="F124" s="4" t="s">
        <v>10</v>
      </c>
      <c r="G124" s="4" t="s">
        <v>11</v>
      </c>
      <c r="H124" s="7" t="str">
        <f>HYPERLINK("http://apps.fcc.gov/ecfs/document/view?id=7520943923","  (3 pages)")</f>
        <v>  (3 pages)</v>
      </c>
    </row>
    <row r="125" spans="1:8" ht="12.75">
      <c r="A125" s="4" t="s">
        <v>6</v>
      </c>
      <c r="B125" s="4" t="s">
        <v>945</v>
      </c>
      <c r="C125" s="4" t="s">
        <v>663</v>
      </c>
      <c r="D125" s="4" t="s">
        <v>553</v>
      </c>
      <c r="E125" s="4" t="s">
        <v>652</v>
      </c>
      <c r="F125" s="4" t="s">
        <v>10</v>
      </c>
      <c r="G125" s="4" t="s">
        <v>11</v>
      </c>
      <c r="H125" s="7" t="str">
        <f>HYPERLINK("http://apps.fcc.gov/ecfs/document/view?id=7520942751","  (3 pages)")</f>
        <v>  (3 pages)</v>
      </c>
    </row>
    <row r="126" spans="1:8" ht="12.75">
      <c r="A126" s="4" t="s">
        <v>6</v>
      </c>
      <c r="B126" s="4" t="s">
        <v>694</v>
      </c>
      <c r="C126" s="4" t="s">
        <v>8</v>
      </c>
      <c r="D126" s="4" t="s">
        <v>685</v>
      </c>
      <c r="E126" s="4" t="s">
        <v>673</v>
      </c>
      <c r="F126" s="4" t="s">
        <v>10</v>
      </c>
      <c r="G126" s="4" t="s">
        <v>11</v>
      </c>
      <c r="H126" s="7" t="str">
        <f>HYPERLINK("http://apps.fcc.gov/ecfs/document/view?id=7520942290","  (2 pages)")</f>
        <v>  (2 pages)</v>
      </c>
    </row>
    <row r="127" spans="1:8" ht="12.75">
      <c r="A127" s="4" t="s">
        <v>6</v>
      </c>
      <c r="B127" s="4" t="s">
        <v>862</v>
      </c>
      <c r="C127" s="4" t="s">
        <v>81</v>
      </c>
      <c r="D127" s="4" t="s">
        <v>21</v>
      </c>
      <c r="E127" s="4" t="s">
        <v>9</v>
      </c>
      <c r="F127" s="4" t="s">
        <v>10</v>
      </c>
      <c r="G127" s="4" t="s">
        <v>11</v>
      </c>
      <c r="H127" s="7" t="str">
        <f>HYPERLINK("http://apps.fcc.gov/ecfs/document/view?id=7520944092","Comanche TX (2 pages)")</f>
        <v>Comanche TX (2 pages)</v>
      </c>
    </row>
    <row r="128" spans="1:8" ht="12.75">
      <c r="A128" s="4" t="s">
        <v>6</v>
      </c>
      <c r="B128" s="4" t="s">
        <v>212</v>
      </c>
      <c r="C128" s="4" t="s">
        <v>8</v>
      </c>
      <c r="D128" s="4" t="s">
        <v>21</v>
      </c>
      <c r="E128" s="4" t="s">
        <v>9</v>
      </c>
      <c r="F128" s="4" t="s">
        <v>10</v>
      </c>
      <c r="G128" s="4" t="s">
        <v>11</v>
      </c>
      <c r="H128" s="7" t="str">
        <f>HYPERLINK("http://apps.fcc.gov/ecfs/document/view?id=7520944020","  (51 pages)")</f>
        <v>  (51 pages)</v>
      </c>
    </row>
    <row r="129" spans="1:8" ht="12.75">
      <c r="A129" s="4" t="s">
        <v>6</v>
      </c>
      <c r="B129" s="4" t="s">
        <v>211</v>
      </c>
      <c r="C129" s="4" t="s">
        <v>8</v>
      </c>
      <c r="D129" s="4" t="s">
        <v>21</v>
      </c>
      <c r="E129" s="4" t="s">
        <v>9</v>
      </c>
      <c r="F129" s="4" t="s">
        <v>10</v>
      </c>
      <c r="G129" s="4" t="s">
        <v>11</v>
      </c>
      <c r="H129" s="7" t="str">
        <f>HYPERLINK("http://apps.fcc.gov/ecfs/document/view?id=7520944007","  (7 pages)")</f>
        <v>  (7 pages)</v>
      </c>
    </row>
    <row r="130" spans="1:8" ht="12.75">
      <c r="A130" s="4" t="s">
        <v>6</v>
      </c>
      <c r="B130" s="4" t="s">
        <v>210</v>
      </c>
      <c r="C130" s="4" t="s">
        <v>8</v>
      </c>
      <c r="D130" s="4" t="s">
        <v>21</v>
      </c>
      <c r="E130" s="4" t="s">
        <v>9</v>
      </c>
      <c r="F130" s="4" t="s">
        <v>10</v>
      </c>
      <c r="G130" s="4" t="s">
        <v>11</v>
      </c>
      <c r="H130" s="7" t="str">
        <f>HYPERLINK("http://apps.fcc.gov/ecfs/document/view?id=7520944093","  (14 pages)")</f>
        <v>  (14 pages)</v>
      </c>
    </row>
    <row r="131" spans="1:8" ht="12.75">
      <c r="A131" s="4" t="s">
        <v>6</v>
      </c>
      <c r="B131" s="4" t="s">
        <v>549</v>
      </c>
      <c r="C131" s="4" t="s">
        <v>8</v>
      </c>
      <c r="D131" s="4" t="s">
        <v>524</v>
      </c>
      <c r="E131" s="4" t="s">
        <v>333</v>
      </c>
      <c r="F131" s="4" t="s">
        <v>10</v>
      </c>
      <c r="G131" s="4" t="s">
        <v>11</v>
      </c>
      <c r="H131" s="7" t="str">
        <f>HYPERLINK("http://apps.fcc.gov/ecfs/document/view?id=7520943185"," (1 page)")</f>
        <v> (1 page)</v>
      </c>
    </row>
    <row r="132" spans="1:8" ht="12.75">
      <c r="A132" s="4" t="s">
        <v>6</v>
      </c>
      <c r="B132" s="4" t="s">
        <v>1021</v>
      </c>
      <c r="C132" s="4" t="s">
        <v>625</v>
      </c>
      <c r="D132" s="4" t="s">
        <v>524</v>
      </c>
      <c r="E132" s="4" t="s">
        <v>524</v>
      </c>
      <c r="F132" s="4" t="s">
        <v>10</v>
      </c>
      <c r="G132" s="4" t="s">
        <v>11</v>
      </c>
      <c r="H132" s="7" t="str">
        <f>HYPERLINK("http://apps.fcc.gov/ecfs/document/view?id=7520943017","Comment on E Rate NPRM (1 page)")</f>
        <v>Comment on E Rate NPRM (1 page)</v>
      </c>
    </row>
    <row r="133" spans="1:8" ht="12.75">
      <c r="A133" s="4" t="s">
        <v>6</v>
      </c>
      <c r="B133" s="4" t="s">
        <v>209</v>
      </c>
      <c r="C133" s="4" t="s">
        <v>8</v>
      </c>
      <c r="D133" s="4" t="s">
        <v>21</v>
      </c>
      <c r="E133" s="4" t="s">
        <v>9</v>
      </c>
      <c r="F133" s="4" t="s">
        <v>10</v>
      </c>
      <c r="G133" s="4" t="s">
        <v>11</v>
      </c>
      <c r="H133" s="7" t="str">
        <f>HYPERLINK("http://apps.fcc.gov/ecfs/document/view?id=7520944011","  (37 pages)")</f>
        <v>  (37 pages)</v>
      </c>
    </row>
    <row r="134" spans="1:8" ht="12.75">
      <c r="A134" s="4" t="s">
        <v>6</v>
      </c>
      <c r="B134" s="4" t="s">
        <v>379</v>
      </c>
      <c r="C134" s="4" t="s">
        <v>8</v>
      </c>
      <c r="D134" s="4" t="s">
        <v>333</v>
      </c>
      <c r="E134" s="4" t="s">
        <v>21</v>
      </c>
      <c r="F134" s="4" t="s">
        <v>10</v>
      </c>
      <c r="G134" s="4" t="s">
        <v>11</v>
      </c>
      <c r="H134" s="7" t="str">
        <f>HYPERLINK("http://apps.fcc.gov/ecfs/document/view?id=7520943459","  (1 page)")</f>
        <v>  (1 page)</v>
      </c>
    </row>
    <row r="135" spans="1:8" ht="12.75">
      <c r="A135" s="4" t="s">
        <v>6</v>
      </c>
      <c r="B135" s="4" t="s">
        <v>288</v>
      </c>
      <c r="C135" s="4" t="s">
        <v>8</v>
      </c>
      <c r="D135" s="4" t="s">
        <v>21</v>
      </c>
      <c r="E135" s="4" t="s">
        <v>21</v>
      </c>
      <c r="F135" s="4" t="s">
        <v>10</v>
      </c>
      <c r="G135" s="4" t="s">
        <v>11</v>
      </c>
      <c r="H135" s="9" t="str">
        <f>HYPERLINK("http://apps.fcc.gov/ecfs/document/view?id=7520943836","  (16 pages)")</f>
        <v>  (16 pages)</v>
      </c>
    </row>
    <row r="136" spans="1:8" ht="12.75">
      <c r="A136" s="4" t="s">
        <v>6</v>
      </c>
      <c r="B136" s="4" t="s">
        <v>898</v>
      </c>
      <c r="C136" s="4" t="s">
        <v>358</v>
      </c>
      <c r="D136" s="4" t="s">
        <v>21</v>
      </c>
      <c r="E136" s="4" t="s">
        <v>21</v>
      </c>
      <c r="F136" s="4" t="s">
        <v>10</v>
      </c>
      <c r="G136" s="4" t="s">
        <v>11</v>
      </c>
      <c r="H136" s="7" t="str">
        <f>HYPERLINK("http://apps.fcc.gov/ecfs/document/view?id=7520943712"," (1 page)")</f>
        <v> (1 page)</v>
      </c>
    </row>
    <row r="137" spans="1:8" ht="12.75">
      <c r="A137" s="4" t="s">
        <v>6</v>
      </c>
      <c r="B137" s="4" t="s">
        <v>208</v>
      </c>
      <c r="C137" s="4" t="s">
        <v>8</v>
      </c>
      <c r="D137" s="4" t="s">
        <v>21</v>
      </c>
      <c r="E137" s="4" t="s">
        <v>9</v>
      </c>
      <c r="F137" s="4" t="s">
        <v>10</v>
      </c>
      <c r="G137" s="4" t="s">
        <v>11</v>
      </c>
      <c r="H137" s="7" t="str">
        <f>HYPERLINK("http://apps.fcc.gov/ecfs/document/view?id=7520944014","  (17 pages)")</f>
        <v>  (17 pages)</v>
      </c>
    </row>
    <row r="138" spans="1:8" ht="12.75">
      <c r="A138" s="4" t="s">
        <v>6</v>
      </c>
      <c r="B138" s="4" t="s">
        <v>207</v>
      </c>
      <c r="C138" s="4" t="s">
        <v>8</v>
      </c>
      <c r="D138" s="4" t="s">
        <v>21</v>
      </c>
      <c r="E138" s="4" t="s">
        <v>9</v>
      </c>
      <c r="F138" s="4" t="s">
        <v>10</v>
      </c>
      <c r="G138" s="4" t="s">
        <v>11</v>
      </c>
      <c r="H138" s="7" t="str">
        <f>HYPERLINK("http://apps.fcc.gov/ecfs/document/view?id=7520943937","Comments from Crispus Attucks YouthBuild Charter School (3 pages)")</f>
        <v>Comments from Crispus Attucks YouthBuild Charter School (3 pages)</v>
      </c>
    </row>
    <row r="139" spans="1:8" ht="12.75">
      <c r="A139" s="4" t="s">
        <v>6</v>
      </c>
      <c r="B139" s="4" t="s">
        <v>889</v>
      </c>
      <c r="C139" s="4" t="s">
        <v>316</v>
      </c>
      <c r="D139" s="4" t="s">
        <v>21</v>
      </c>
      <c r="E139" s="4" t="s">
        <v>21</v>
      </c>
      <c r="F139" s="4" t="s">
        <v>10</v>
      </c>
      <c r="G139" s="4" t="s">
        <v>11</v>
      </c>
      <c r="H139" s="7" t="str">
        <f>HYPERLINK("http://apps.fcc.gov/ecfs/document/view?id=7520943783"," (1 page)")</f>
        <v> (1 page)</v>
      </c>
    </row>
    <row r="140" spans="1:8" ht="12.75">
      <c r="A140" s="4" t="s">
        <v>6</v>
      </c>
      <c r="B140" s="4" t="s">
        <v>960</v>
      </c>
      <c r="C140" s="4" t="s">
        <v>303</v>
      </c>
      <c r="D140" s="4" t="s">
        <v>21</v>
      </c>
      <c r="E140" s="4" t="s">
        <v>21</v>
      </c>
      <c r="F140" s="4" t="s">
        <v>10</v>
      </c>
      <c r="G140" s="4" t="s">
        <v>11</v>
      </c>
      <c r="H140" s="7" t="str">
        <f>HYPERLINK("http://apps.fcc.gov/ecfs/document/view?id=7520943805","  (1 page)")</f>
        <v>  (1 page)</v>
      </c>
    </row>
    <row r="141" spans="1:8" ht="12.75">
      <c r="A141" s="4" t="s">
        <v>6</v>
      </c>
      <c r="B141" s="4" t="s">
        <v>233</v>
      </c>
      <c r="D141" s="4" t="s">
        <v>21</v>
      </c>
      <c r="E141" s="4" t="s">
        <v>9</v>
      </c>
      <c r="F141" s="4" t="s">
        <v>10</v>
      </c>
      <c r="G141" s="4" t="s">
        <v>11</v>
      </c>
      <c r="H141" s="7" t="str">
        <f>HYPERLINK("http://apps.fcc.gov/ecfs/document/view?id=7520943936","  (7 pages)")</f>
        <v>  (7 pages)</v>
      </c>
    </row>
    <row r="142" spans="1:9" ht="12.75">
      <c r="A142" s="4" t="s">
        <v>6</v>
      </c>
      <c r="B142" s="4" t="s">
        <v>232</v>
      </c>
      <c r="C142" s="4" t="s">
        <v>8</v>
      </c>
      <c r="D142" s="4" t="s">
        <v>21</v>
      </c>
      <c r="E142" s="4" t="s">
        <v>9</v>
      </c>
      <c r="F142" s="4" t="s">
        <v>10</v>
      </c>
      <c r="G142" s="4" t="s">
        <v>11</v>
      </c>
      <c r="H142" s="7" t="str">
        <f>HYPERLINK("http://apps.fcc.gov/ecfs/document/view?id=7520944085","CSM Inc Initial NPRM Comments (35 pages)")</f>
        <v>CSM Inc Initial NPRM Comments (35 pages)</v>
      </c>
      <c r="I142" s="7" t="str">
        <f>HYPERLINK("http://apps.fcc.gov/ecfs/document/view?id=7520944086","Appendix A (14 pages)")</f>
        <v>Appendix A (14 pages)</v>
      </c>
    </row>
    <row r="143" spans="1:8" ht="12.75">
      <c r="A143" s="4" t="s">
        <v>6</v>
      </c>
      <c r="B143" s="4" t="s">
        <v>231</v>
      </c>
      <c r="C143" s="4" t="s">
        <v>8</v>
      </c>
      <c r="D143" s="4" t="s">
        <v>21</v>
      </c>
      <c r="E143" s="4" t="s">
        <v>9</v>
      </c>
      <c r="F143" s="4" t="s">
        <v>10</v>
      </c>
      <c r="G143" s="4" t="s">
        <v>11</v>
      </c>
      <c r="H143" s="7" t="str">
        <f>HYPERLINK("http://apps.fcc.gov/ecfs/document/view?id=7520943955","  (15 pages)")</f>
        <v>  (15 pages)</v>
      </c>
    </row>
    <row r="144" spans="1:9" ht="12.75">
      <c r="A144" s="4" t="s">
        <v>6</v>
      </c>
      <c r="B144" s="4" t="s">
        <v>1038</v>
      </c>
      <c r="C144" s="4" t="s">
        <v>1156</v>
      </c>
      <c r="D144" s="4" t="s">
        <v>685</v>
      </c>
      <c r="E144" s="4" t="s">
        <v>685</v>
      </c>
      <c r="F144" s="4" t="s">
        <v>10</v>
      </c>
      <c r="G144" s="4" t="s">
        <v>11</v>
      </c>
      <c r="H144" s="7" t="str">
        <f>HYPERLINK("http://apps.fcc.gov/ecfs/document/view?id=7520942231","Cullman County School District comment on E Rate NPRM (1 page)")</f>
        <v>Cullman County School District comment on E Rate NPRM (1 page)</v>
      </c>
      <c r="I144" s="1" t="str">
        <f>HYPERLINK("http://apps.fcc.gov/ecfs/document/view?id=7520944429","  (1 page)")</f>
        <v>  (1 page)</v>
      </c>
    </row>
    <row r="145" spans="1:8" ht="12.75">
      <c r="A145" s="4" t="s">
        <v>6</v>
      </c>
      <c r="B145" s="4" t="s">
        <v>521</v>
      </c>
      <c r="C145" s="4" t="s">
        <v>8</v>
      </c>
      <c r="D145" s="4" t="s">
        <v>333</v>
      </c>
      <c r="E145" s="4" t="s">
        <v>333</v>
      </c>
      <c r="F145" s="4" t="s">
        <v>10</v>
      </c>
      <c r="G145" s="4" t="s">
        <v>11</v>
      </c>
      <c r="H145" s="7" t="str">
        <f>HYPERLINK("http://apps.fcc.gov/ecfs/document/view?id=7520943271","  (2 pages)")</f>
        <v>  (2 pages)</v>
      </c>
    </row>
    <row r="146" spans="1:8" ht="12.75">
      <c r="A146" s="4" t="s">
        <v>6</v>
      </c>
      <c r="B146" s="4" t="s">
        <v>731</v>
      </c>
      <c r="C146" s="4" t="s">
        <v>8</v>
      </c>
      <c r="D146" s="4" t="s">
        <v>717</v>
      </c>
      <c r="E146" s="4" t="s">
        <v>717</v>
      </c>
      <c r="F146" s="4" t="s">
        <v>10</v>
      </c>
      <c r="G146" s="4" t="s">
        <v>11</v>
      </c>
      <c r="H146" s="7" t="str">
        <f>HYPERLINK("http://apps.fcc.gov/ecfs/document/view?id=7520940444","  (1 page)")</f>
        <v>  (1 page)</v>
      </c>
    </row>
    <row r="147" spans="1:12" ht="12.75">
      <c r="A147" t="s">
        <v>6</v>
      </c>
      <c r="B147" s="4" t="s">
        <v>1141</v>
      </c>
      <c r="C147" t="s">
        <v>8</v>
      </c>
      <c r="D147" t="s">
        <v>1070</v>
      </c>
      <c r="E147" t="s">
        <v>1109</v>
      </c>
      <c r="F147" t="s">
        <v>10</v>
      </c>
      <c r="G147" t="s">
        <v>11</v>
      </c>
      <c r="H147" s="1" t="str">
        <f>HYPERLINK("http://apps.fcc.gov/ecfs/document/view?id=7520944462","  (1 page)")</f>
        <v>  (1 page)</v>
      </c>
      <c r="I147"/>
      <c r="J147"/>
      <c r="K147"/>
      <c r="L147"/>
    </row>
    <row r="148" spans="1:8" ht="12.75">
      <c r="A148" s="4" t="s">
        <v>6</v>
      </c>
      <c r="B148" s="4" t="s">
        <v>485</v>
      </c>
      <c r="C148" s="4" t="s">
        <v>8</v>
      </c>
      <c r="D148" s="4" t="s">
        <v>333</v>
      </c>
      <c r="E148" s="4" t="s">
        <v>333</v>
      </c>
      <c r="F148" s="4" t="s">
        <v>10</v>
      </c>
      <c r="G148" s="4" t="s">
        <v>11</v>
      </c>
      <c r="H148" s="7" t="str">
        <f>HYPERLINK("http://apps.fcc.gov/ecfs/document/view?id=7520943281","  (1 page)")</f>
        <v>  (1 page)</v>
      </c>
    </row>
    <row r="149" spans="1:8" ht="12.75">
      <c r="A149" s="4" t="s">
        <v>6</v>
      </c>
      <c r="B149" s="4" t="s">
        <v>583</v>
      </c>
      <c r="C149" s="4" t="s">
        <v>8</v>
      </c>
      <c r="D149" s="4" t="s">
        <v>524</v>
      </c>
      <c r="E149" s="4" t="s">
        <v>524</v>
      </c>
      <c r="F149" s="4" t="s">
        <v>10</v>
      </c>
      <c r="G149" s="4" t="s">
        <v>11</v>
      </c>
      <c r="H149" s="7" t="str">
        <f>HYPERLINK("http://apps.fcc.gov/ecfs/document/view?id=7520943040","  (1 page)")</f>
        <v>  (1 page)</v>
      </c>
    </row>
    <row r="150" spans="1:9" ht="12.75">
      <c r="A150" s="4" t="s">
        <v>6</v>
      </c>
      <c r="B150" s="4" t="s">
        <v>975</v>
      </c>
      <c r="C150" s="4" t="s">
        <v>978</v>
      </c>
      <c r="D150" s="4" t="s">
        <v>21</v>
      </c>
      <c r="E150" s="4" t="s">
        <v>9</v>
      </c>
      <c r="F150" s="4" t="s">
        <v>10</v>
      </c>
      <c r="G150" s="4" t="s">
        <v>11</v>
      </c>
      <c r="H150" s="7" t="str">
        <f>HYPERLINK("http://apps.fcc.gov/ecfs/document/view?id=7520944144","  (2 pages)")</f>
        <v>  (2 pages)</v>
      </c>
      <c r="I150" s="7" t="str">
        <f>HYPERLINK("http://apps.fcc.gov/ecfs/document/view?id=7520944161","Comments on E Rate modernization (3 pages)")</f>
        <v>Comments on E Rate modernization (3 pages)</v>
      </c>
    </row>
    <row r="151" spans="1:8" ht="12.75">
      <c r="A151" s="4" t="s">
        <v>6</v>
      </c>
      <c r="B151" s="4" t="s">
        <v>204</v>
      </c>
      <c r="C151" s="4" t="s">
        <v>8</v>
      </c>
      <c r="D151" s="4" t="s">
        <v>21</v>
      </c>
      <c r="E151" s="4" t="s">
        <v>9</v>
      </c>
      <c r="F151" s="4" t="s">
        <v>10</v>
      </c>
      <c r="G151" s="4" t="s">
        <v>11</v>
      </c>
      <c r="H151" s="7" t="str">
        <f>HYPERLINK("http://apps.fcc.gov/ecfs/document/view?id=7520943976","SafeLibraries Comment (69 pages)")</f>
        <v>SafeLibraries Comment (69 pages)</v>
      </c>
    </row>
    <row r="152" spans="1:8" ht="12.75">
      <c r="A152" s="4" t="s">
        <v>6</v>
      </c>
      <c r="B152" s="4" t="s">
        <v>658</v>
      </c>
      <c r="C152" s="4" t="s">
        <v>8</v>
      </c>
      <c r="D152" s="4" t="s">
        <v>598</v>
      </c>
      <c r="E152" s="4" t="s">
        <v>598</v>
      </c>
      <c r="F152" s="4" t="s">
        <v>10</v>
      </c>
      <c r="G152" s="4" t="s">
        <v>11</v>
      </c>
      <c r="H152" s="7" t="str">
        <f>HYPERLINK("http://apps.fcc.gov/ecfs/document/view?id=7520942866"," (1 page)")</f>
        <v> (1 page)</v>
      </c>
    </row>
    <row r="153" spans="1:8" ht="12.75">
      <c r="A153" s="4" t="s">
        <v>6</v>
      </c>
      <c r="B153" s="4" t="s">
        <v>484</v>
      </c>
      <c r="C153" s="4" t="s">
        <v>8</v>
      </c>
      <c r="D153" s="4" t="s">
        <v>333</v>
      </c>
      <c r="E153" s="4" t="s">
        <v>333</v>
      </c>
      <c r="F153" s="4" t="s">
        <v>10</v>
      </c>
      <c r="G153" s="4" t="s">
        <v>11</v>
      </c>
      <c r="H153" s="7" t="str">
        <f>HYPERLINK("http://apps.fcc.gov/ecfs/document/view?id=7520943316","  (1 page)")</f>
        <v>  (1 page)</v>
      </c>
    </row>
    <row r="154" spans="1:8" ht="12.75">
      <c r="A154" s="4" t="s">
        <v>6</v>
      </c>
      <c r="B154" s="4" t="s">
        <v>582</v>
      </c>
      <c r="C154" s="4" t="s">
        <v>8</v>
      </c>
      <c r="D154" s="4" t="s">
        <v>524</v>
      </c>
      <c r="E154" s="4" t="s">
        <v>524</v>
      </c>
      <c r="F154" s="4" t="s">
        <v>10</v>
      </c>
      <c r="G154" s="4" t="s">
        <v>11</v>
      </c>
      <c r="H154" s="7" t="str">
        <f>HYPERLINK("http://apps.fcc.gov/ecfs/document/view?id=7520943061","  (1 page)")</f>
        <v>  (1 page)</v>
      </c>
    </row>
    <row r="155" spans="1:8" ht="12.75">
      <c r="A155" s="4" t="s">
        <v>6</v>
      </c>
      <c r="B155" s="4" t="s">
        <v>581</v>
      </c>
      <c r="C155" s="4" t="s">
        <v>8</v>
      </c>
      <c r="D155" s="4" t="s">
        <v>524</v>
      </c>
      <c r="E155" s="4" t="s">
        <v>524</v>
      </c>
      <c r="F155" s="4" t="s">
        <v>10</v>
      </c>
      <c r="G155" s="4" t="s">
        <v>11</v>
      </c>
      <c r="H155" s="7" t="str">
        <f>HYPERLINK("http://apps.fcc.gov/ecfs/document/view?id=7520943074"," (1 page)")</f>
        <v> (1 page)</v>
      </c>
    </row>
    <row r="156" spans="1:8" ht="12.75">
      <c r="A156" s="4" t="s">
        <v>6</v>
      </c>
      <c r="B156" s="4" t="s">
        <v>668</v>
      </c>
      <c r="C156" s="4" t="s">
        <v>8</v>
      </c>
      <c r="D156" s="4" t="s">
        <v>553</v>
      </c>
      <c r="E156" s="4" t="s">
        <v>652</v>
      </c>
      <c r="F156" s="4" t="s">
        <v>10</v>
      </c>
      <c r="G156" s="4" t="s">
        <v>11</v>
      </c>
      <c r="H156" s="7" t="str">
        <f>HYPERLINK("http://apps.fcc.gov/ecfs/document/view?id=7520942723","  (2 pages)")</f>
        <v>  (2 pages)</v>
      </c>
    </row>
    <row r="157" spans="1:8" ht="12.75">
      <c r="A157" s="4" t="s">
        <v>6</v>
      </c>
      <c r="B157" s="4" t="s">
        <v>482</v>
      </c>
      <c r="C157" s="4" t="s">
        <v>8</v>
      </c>
      <c r="D157" s="4" t="s">
        <v>333</v>
      </c>
      <c r="E157" s="4" t="s">
        <v>333</v>
      </c>
      <c r="F157" s="4" t="s">
        <v>10</v>
      </c>
      <c r="G157" s="4" t="s">
        <v>11</v>
      </c>
      <c r="H157" s="7" t="str">
        <f>HYPERLINK("http://apps.fcc.gov/ecfs/document/view?id=7520943333","  (1 page)")</f>
        <v>  (1 page)</v>
      </c>
    </row>
    <row r="158" spans="1:8" ht="12.75">
      <c r="A158" s="4" t="s">
        <v>6</v>
      </c>
      <c r="B158" s="4" t="s">
        <v>200</v>
      </c>
      <c r="C158" s="4" t="s">
        <v>8</v>
      </c>
      <c r="D158" s="4" t="s">
        <v>9</v>
      </c>
      <c r="E158" s="4" t="s">
        <v>9</v>
      </c>
      <c r="F158" s="4" t="s">
        <v>10</v>
      </c>
      <c r="G158" s="4" t="s">
        <v>11</v>
      </c>
      <c r="H158" s="7" t="str">
        <f>HYPERLINK("http://apps.fcc.gov/ecfs/document/view?id=7520944228","  (1 page)")</f>
        <v>  (1 page)</v>
      </c>
    </row>
    <row r="159" spans="1:8" ht="12.75">
      <c r="A159" s="4" t="s">
        <v>6</v>
      </c>
      <c r="B159" s="4" t="s">
        <v>480</v>
      </c>
      <c r="C159" s="4" t="s">
        <v>8</v>
      </c>
      <c r="D159" s="4" t="s">
        <v>333</v>
      </c>
      <c r="E159" s="4" t="s">
        <v>333</v>
      </c>
      <c r="F159" s="4" t="s">
        <v>10</v>
      </c>
      <c r="G159" s="4" t="s">
        <v>11</v>
      </c>
      <c r="H159" s="7" t="str">
        <f>HYPERLINK("http://apps.fcc.gov/ecfs/document/view?id=7520943394","  (1 page)")</f>
        <v>  (1 page)</v>
      </c>
    </row>
    <row r="160" spans="1:8" ht="12.75">
      <c r="A160" s="4" t="s">
        <v>6</v>
      </c>
      <c r="B160" s="4" t="s">
        <v>479</v>
      </c>
      <c r="C160" s="4" t="s">
        <v>8</v>
      </c>
      <c r="D160" s="4" t="s">
        <v>333</v>
      </c>
      <c r="E160" s="4" t="s">
        <v>333</v>
      </c>
      <c r="F160" s="4" t="s">
        <v>10</v>
      </c>
      <c r="G160" s="4" t="s">
        <v>11</v>
      </c>
      <c r="H160" s="7" t="str">
        <f>HYPERLINK("http://apps.fcc.gov/ecfs/document/view?id=7520943317","  (1 page)")</f>
        <v>  (1 page)</v>
      </c>
    </row>
    <row r="161" spans="1:8" ht="12.75">
      <c r="A161" s="4" t="s">
        <v>6</v>
      </c>
      <c r="B161" s="4" t="s">
        <v>713</v>
      </c>
      <c r="C161" s="4" t="s">
        <v>712</v>
      </c>
      <c r="D161" s="4" t="s">
        <v>707</v>
      </c>
      <c r="E161" s="4" t="s">
        <v>707</v>
      </c>
      <c r="F161" s="4" t="s">
        <v>10</v>
      </c>
      <c r="G161" s="4" t="s">
        <v>11</v>
      </c>
      <c r="H161" s="7" t="str">
        <f>HYPERLINK("http://apps.fcc.gov/ecfs/document/view?id=7520941335","  (1 page)")</f>
        <v>  (1 page)</v>
      </c>
    </row>
    <row r="162" spans="1:8" ht="12.75">
      <c r="A162" s="4" t="s">
        <v>6</v>
      </c>
      <c r="B162" s="4" t="s">
        <v>520</v>
      </c>
      <c r="C162" s="4" t="s">
        <v>8</v>
      </c>
      <c r="D162" s="4" t="s">
        <v>333</v>
      </c>
      <c r="E162" s="4" t="s">
        <v>333</v>
      </c>
      <c r="F162" s="4" t="s">
        <v>10</v>
      </c>
      <c r="G162" s="4" t="s">
        <v>11</v>
      </c>
      <c r="H162" s="7" t="str">
        <f>HYPERLINK("http://apps.fcc.gov/ecfs/document/view?id=7520943261","  (1 page)")</f>
        <v>  (1 page)</v>
      </c>
    </row>
    <row r="163" spans="1:8" ht="12.75">
      <c r="A163" s="4" t="s">
        <v>6</v>
      </c>
      <c r="B163" s="4" t="s">
        <v>478</v>
      </c>
      <c r="C163" s="4" t="s">
        <v>8</v>
      </c>
      <c r="D163" s="4" t="s">
        <v>333</v>
      </c>
      <c r="E163" s="4" t="s">
        <v>333</v>
      </c>
      <c r="F163" s="4" t="s">
        <v>10</v>
      </c>
      <c r="G163" s="4" t="s">
        <v>11</v>
      </c>
      <c r="H163" s="7" t="str">
        <f>HYPERLINK("http://apps.fcc.gov/ecfs/document/view?id=7520943396","  (1 page)")</f>
        <v>  (1 page)</v>
      </c>
    </row>
    <row r="164" spans="1:9" ht="12.75">
      <c r="A164" s="4" t="s">
        <v>6</v>
      </c>
      <c r="B164" s="4" t="s">
        <v>882</v>
      </c>
      <c r="C164" s="4" t="s">
        <v>1160</v>
      </c>
      <c r="D164" s="4" t="s">
        <v>21</v>
      </c>
      <c r="E164" s="4" t="s">
        <v>1070</v>
      </c>
      <c r="F164" s="4" t="s">
        <v>10</v>
      </c>
      <c r="G164" s="4" t="s">
        <v>11</v>
      </c>
      <c r="H164" s="7" t="str">
        <f>HYPERLINK("http://apps.fcc.gov/ecfs/document/view?id=7520944390","  (7 pages)")</f>
        <v>  (7 pages)</v>
      </c>
      <c r="I164" s="7" t="str">
        <f>HYPERLINK("http://apps.fcc.gov/ecfs/document/view?id=7520944035","  (7 pages)")</f>
        <v>  (7 pages)</v>
      </c>
    </row>
    <row r="165" spans="1:8" ht="12.75">
      <c r="A165" s="4" t="s">
        <v>6</v>
      </c>
      <c r="B165" s="4" t="s">
        <v>1075</v>
      </c>
      <c r="C165" s="4" t="s">
        <v>8</v>
      </c>
      <c r="D165" s="4" t="s">
        <v>21</v>
      </c>
      <c r="E165" s="4" t="s">
        <v>1070</v>
      </c>
      <c r="F165" s="4" t="s">
        <v>10</v>
      </c>
      <c r="G165" s="4" t="s">
        <v>11</v>
      </c>
      <c r="H165" s="7" t="str">
        <f>HYPERLINK("http://apps.fcc.gov/ecfs/document/view?id=7520944417","  (3 pages)")</f>
        <v>  (3 pages)</v>
      </c>
    </row>
    <row r="166" spans="1:8" ht="12.75">
      <c r="A166" s="4" t="s">
        <v>6</v>
      </c>
      <c r="B166" s="4" t="s">
        <v>375</v>
      </c>
      <c r="C166" s="4" t="s">
        <v>8</v>
      </c>
      <c r="D166" s="4" t="s">
        <v>21</v>
      </c>
      <c r="E166" s="4" t="s">
        <v>21</v>
      </c>
      <c r="F166" s="4" t="s">
        <v>10</v>
      </c>
      <c r="G166" s="4" t="s">
        <v>11</v>
      </c>
      <c r="H166" s="7" t="str">
        <f>HYPERLINK("http://apps.fcc.gov/ecfs/document/view?id=7520943677","  (4 pages)")</f>
        <v>  (4 pages)</v>
      </c>
    </row>
    <row r="167" spans="1:8" ht="12.75">
      <c r="A167" s="4" t="s">
        <v>6</v>
      </c>
      <c r="B167" s="4" t="s">
        <v>1027</v>
      </c>
      <c r="C167" s="4" t="s">
        <v>492</v>
      </c>
      <c r="D167" s="4" t="s">
        <v>333</v>
      </c>
      <c r="E167" s="4" t="s">
        <v>333</v>
      </c>
      <c r="F167" s="4" t="s">
        <v>10</v>
      </c>
      <c r="G167" s="4" t="s">
        <v>11</v>
      </c>
      <c r="H167" s="7" t="str">
        <f>HYPERLINK("http://apps.fcc.gov/ecfs/document/view?id=7520943283","  (1 page)")</f>
        <v>  (1 page)</v>
      </c>
    </row>
    <row r="168" spans="1:8" ht="12.75">
      <c r="A168" s="4" t="s">
        <v>6</v>
      </c>
      <c r="B168" s="4" t="s">
        <v>914</v>
      </c>
      <c r="C168" s="4" t="s">
        <v>362</v>
      </c>
      <c r="D168" s="4" t="s">
        <v>21</v>
      </c>
      <c r="E168" s="4" t="s">
        <v>21</v>
      </c>
      <c r="F168" s="4" t="s">
        <v>10</v>
      </c>
      <c r="G168" s="4" t="s">
        <v>11</v>
      </c>
      <c r="H168" s="7" t="str">
        <f>HYPERLINK("http://apps.fcc.gov/ecfs/document/view?id=7520943621"," (1 page)")</f>
        <v> (1 page)</v>
      </c>
    </row>
    <row r="169" spans="1:8" ht="12.75">
      <c r="A169" s="4" t="s">
        <v>6</v>
      </c>
      <c r="B169" s="4" t="s">
        <v>374</v>
      </c>
      <c r="C169" s="4" t="s">
        <v>8</v>
      </c>
      <c r="D169" s="4" t="s">
        <v>21</v>
      </c>
      <c r="E169" s="4" t="s">
        <v>21</v>
      </c>
      <c r="F169" s="4" t="s">
        <v>10</v>
      </c>
      <c r="G169" s="4" t="s">
        <v>11</v>
      </c>
      <c r="H169" s="7" t="str">
        <f>HYPERLINK("http://apps.fcc.gov/ecfs/document/view?id=7520943700","  (3 pages)")</f>
        <v>  (3 pages)</v>
      </c>
    </row>
    <row r="170" spans="1:8" ht="12.75">
      <c r="A170" s="4" t="s">
        <v>6</v>
      </c>
      <c r="B170" s="4" t="s">
        <v>476</v>
      </c>
      <c r="C170" s="4" t="s">
        <v>8</v>
      </c>
      <c r="D170" s="4" t="s">
        <v>333</v>
      </c>
      <c r="E170" s="4" t="s">
        <v>333</v>
      </c>
      <c r="F170" s="4" t="s">
        <v>10</v>
      </c>
      <c r="G170" s="4" t="s">
        <v>11</v>
      </c>
      <c r="H170" s="7" t="str">
        <f>HYPERLINK("http://apps.fcc.gov/ecfs/document/view?id=7520943302","  (1 page)")</f>
        <v>  (1 page)</v>
      </c>
    </row>
    <row r="171" spans="1:8" ht="12.75">
      <c r="A171" s="4" t="s">
        <v>6</v>
      </c>
      <c r="B171" s="4" t="s">
        <v>475</v>
      </c>
      <c r="C171" s="4" t="s">
        <v>8</v>
      </c>
      <c r="D171" s="4" t="s">
        <v>333</v>
      </c>
      <c r="E171" s="4" t="s">
        <v>333</v>
      </c>
      <c r="F171" s="4" t="s">
        <v>10</v>
      </c>
      <c r="G171" s="4" t="s">
        <v>11</v>
      </c>
      <c r="H171" s="7" t="str">
        <f>HYPERLINK("http://apps.fcc.gov/ecfs/document/view?id=7520943419","  (1 page)")</f>
        <v>  (1 page)</v>
      </c>
    </row>
    <row r="172" spans="1:12" ht="12.75">
      <c r="A172" t="s">
        <v>6</v>
      </c>
      <c r="B172" s="4" t="s">
        <v>1139</v>
      </c>
      <c r="C172" t="s">
        <v>8</v>
      </c>
      <c r="D172" t="s">
        <v>1070</v>
      </c>
      <c r="E172" t="s">
        <v>1109</v>
      </c>
      <c r="F172" t="s">
        <v>10</v>
      </c>
      <c r="G172" t="s">
        <v>11</v>
      </c>
      <c r="H172" s="1" t="str">
        <f>HYPERLINK("http://apps.fcc.gov/ecfs/document/view?id=7520944449","  (1 page)")</f>
        <v>  (1 page)</v>
      </c>
      <c r="I172"/>
      <c r="J172"/>
      <c r="K172"/>
      <c r="L172"/>
    </row>
    <row r="173" spans="1:8" ht="12.75">
      <c r="A173" s="4" t="s">
        <v>6</v>
      </c>
      <c r="B173" s="4" t="s">
        <v>897</v>
      </c>
      <c r="C173" s="4" t="s">
        <v>429</v>
      </c>
      <c r="D173" s="4" t="s">
        <v>333</v>
      </c>
      <c r="E173" s="4" t="s">
        <v>333</v>
      </c>
      <c r="F173" s="4" t="s">
        <v>10</v>
      </c>
      <c r="G173" s="4" t="s">
        <v>11</v>
      </c>
      <c r="H173" s="7" t="str">
        <f>HYPERLINK("http://apps.fcc.gov/ecfs/document/view?id=7520943390","Response to E Rate Funding (1 page)")</f>
        <v>Response to E Rate Funding (1 page)</v>
      </c>
    </row>
    <row r="174" spans="1:8" ht="12.75">
      <c r="A174" s="4" t="s">
        <v>6</v>
      </c>
      <c r="B174" s="4" t="s">
        <v>623</v>
      </c>
      <c r="C174" s="4" t="s">
        <v>8</v>
      </c>
      <c r="D174" s="4" t="s">
        <v>524</v>
      </c>
      <c r="E174" s="4" t="s">
        <v>524</v>
      </c>
      <c r="F174" s="4" t="s">
        <v>10</v>
      </c>
      <c r="G174" s="4" t="s">
        <v>11</v>
      </c>
      <c r="H174" s="7" t="str">
        <f>HYPERLINK("http://apps.fcc.gov/ecfs/document/view?id=7520943008","  (1 page)")</f>
        <v>  (1 page)</v>
      </c>
    </row>
    <row r="175" spans="1:8" ht="12.75">
      <c r="A175" s="4" t="s">
        <v>6</v>
      </c>
      <c r="B175" s="4" t="s">
        <v>955</v>
      </c>
      <c r="C175" s="4" t="s">
        <v>460</v>
      </c>
      <c r="D175" s="4" t="s">
        <v>333</v>
      </c>
      <c r="E175" s="4" t="s">
        <v>333</v>
      </c>
      <c r="F175" s="4" t="s">
        <v>10</v>
      </c>
      <c r="G175" s="4" t="s">
        <v>11</v>
      </c>
      <c r="H175" s="7" t="str">
        <f>HYPERLINK("http://apps.fcc.gov/ecfs/document/view?id=7520943315","  (1 page)")</f>
        <v>  (1 page)</v>
      </c>
    </row>
    <row r="176" spans="1:8" ht="12.75">
      <c r="A176" s="4" t="s">
        <v>6</v>
      </c>
      <c r="B176" s="4" t="s">
        <v>305</v>
      </c>
      <c r="D176" s="4" t="s">
        <v>21</v>
      </c>
      <c r="E176" s="4" t="s">
        <v>21</v>
      </c>
      <c r="F176" s="4" t="s">
        <v>10</v>
      </c>
      <c r="G176" s="4" t="s">
        <v>11</v>
      </c>
      <c r="H176" s="7" t="str">
        <f>HYPERLINK("http://apps.fcc.gov/ecfs/document/view?id=7520943798","  (2 pages)")</f>
        <v>  (2 pages)</v>
      </c>
    </row>
    <row r="177" spans="1:8" ht="12.75">
      <c r="A177" s="4" t="s">
        <v>6</v>
      </c>
      <c r="B177" s="4" t="s">
        <v>472</v>
      </c>
      <c r="C177" s="4" t="s">
        <v>8</v>
      </c>
      <c r="D177" s="4" t="s">
        <v>333</v>
      </c>
      <c r="E177" s="4" t="s">
        <v>333</v>
      </c>
      <c r="F177" s="4" t="s">
        <v>10</v>
      </c>
      <c r="G177" s="4" t="s">
        <v>11</v>
      </c>
      <c r="H177" s="7" t="str">
        <f>HYPERLINK("http://apps.fcc.gov/ecfs/document/view?id=7520943349","  (1 page)")</f>
        <v>  (1 page)</v>
      </c>
    </row>
    <row r="178" spans="1:8" ht="12.75">
      <c r="A178" s="4" t="s">
        <v>6</v>
      </c>
      <c r="B178" s="4" t="s">
        <v>780</v>
      </c>
      <c r="C178" s="4" t="s">
        <v>8</v>
      </c>
      <c r="D178" s="4" t="s">
        <v>770</v>
      </c>
      <c r="E178" s="4" t="s">
        <v>768</v>
      </c>
      <c r="F178" s="4" t="s">
        <v>10</v>
      </c>
      <c r="G178" s="4" t="s">
        <v>11</v>
      </c>
      <c r="H178" s="7" t="str">
        <f>HYPERLINK("http://apps.fcc.gov/ecfs/document/view?id=7520938098"," (1 page)")</f>
        <v> (1 page)</v>
      </c>
    </row>
    <row r="179" spans="1:8" ht="12.75">
      <c r="A179" s="4" t="s">
        <v>6</v>
      </c>
      <c r="B179" s="4" t="s">
        <v>519</v>
      </c>
      <c r="C179" s="4" t="s">
        <v>8</v>
      </c>
      <c r="D179" s="4" t="s">
        <v>333</v>
      </c>
      <c r="E179" s="4" t="s">
        <v>333</v>
      </c>
      <c r="F179" s="4" t="s">
        <v>10</v>
      </c>
      <c r="G179" s="4" t="s">
        <v>11</v>
      </c>
      <c r="H179" s="7" t="str">
        <f>HYPERLINK("http://apps.fcc.gov/ecfs/document/view?id=7520943255","  (1 page)")</f>
        <v>  (1 page)</v>
      </c>
    </row>
    <row r="180" spans="1:8" ht="12.75">
      <c r="A180" s="4" t="s">
        <v>6</v>
      </c>
      <c r="B180" s="4" t="s">
        <v>1001</v>
      </c>
      <c r="C180" s="4" t="s">
        <v>199</v>
      </c>
      <c r="D180" s="4" t="s">
        <v>21</v>
      </c>
      <c r="E180" s="4" t="s">
        <v>9</v>
      </c>
      <c r="F180" s="4" t="s">
        <v>10</v>
      </c>
      <c r="G180" s="4" t="s">
        <v>11</v>
      </c>
      <c r="H180" s="7" t="str">
        <f>HYPERLINK("http://apps.fcc.gov/ecfs/document/view?id=7520944118","  (2 pages)")</f>
        <v>  (2 pages)</v>
      </c>
    </row>
    <row r="181" spans="1:8" ht="12.75">
      <c r="A181" s="4" t="s">
        <v>6</v>
      </c>
      <c r="B181" s="4" t="s">
        <v>286</v>
      </c>
      <c r="C181" s="4" t="s">
        <v>8</v>
      </c>
      <c r="D181" s="4" t="s">
        <v>21</v>
      </c>
      <c r="E181" s="4" t="s">
        <v>21</v>
      </c>
      <c r="F181" s="4" t="s">
        <v>10</v>
      </c>
      <c r="G181" s="4" t="s">
        <v>11</v>
      </c>
      <c r="H181" s="7" t="str">
        <f>HYPERLINK("http://apps.fcc.gov/ecfs/document/view?id=7520943838","  (10 pages)")</f>
        <v>  (10 pages)</v>
      </c>
    </row>
    <row r="182" spans="1:8" ht="12.75">
      <c r="A182" s="4" t="s">
        <v>6</v>
      </c>
      <c r="B182" s="4" t="s">
        <v>22</v>
      </c>
      <c r="C182" s="4" t="s">
        <v>8</v>
      </c>
      <c r="D182" s="4" t="s">
        <v>21</v>
      </c>
      <c r="E182" s="4" t="s">
        <v>9</v>
      </c>
      <c r="F182" s="4" t="s">
        <v>10</v>
      </c>
      <c r="G182" s="4" t="s">
        <v>11</v>
      </c>
      <c r="H182" s="7" t="str">
        <f>HYPERLINK("http://apps.fcc.gov/ecfs/document/view?id=7520944034","  (4 pages)")</f>
        <v>  (4 pages)</v>
      </c>
    </row>
    <row r="183" spans="1:8" ht="12.75">
      <c r="A183" s="4" t="s">
        <v>6</v>
      </c>
      <c r="B183" s="4" t="s">
        <v>523</v>
      </c>
      <c r="C183" s="4" t="s">
        <v>8</v>
      </c>
      <c r="D183" s="4" t="s">
        <v>524</v>
      </c>
      <c r="E183" s="4" t="s">
        <v>333</v>
      </c>
      <c r="F183" s="4" t="s">
        <v>10</v>
      </c>
      <c r="G183" s="4" t="s">
        <v>11</v>
      </c>
      <c r="H183" s="7" t="str">
        <f>HYPERLINK("http://apps.fcc.gov/ecfs/document/view?id=7520943178","13 184 NPRM eDimension (5 pages)")</f>
        <v>13 184 NPRM eDimension (5 pages)</v>
      </c>
    </row>
    <row r="184" spans="1:8" ht="12.75">
      <c r="A184" s="4" t="s">
        <v>6</v>
      </c>
      <c r="B184" s="4" t="s">
        <v>191</v>
      </c>
      <c r="C184" s="4" t="s">
        <v>121</v>
      </c>
      <c r="D184" s="4" t="s">
        <v>21</v>
      </c>
      <c r="E184" s="4" t="s">
        <v>9</v>
      </c>
      <c r="F184" s="4" t="s">
        <v>10</v>
      </c>
      <c r="G184" s="4" t="s">
        <v>11</v>
      </c>
      <c r="H184" s="7" t="str">
        <f>HYPERLINK("http://apps.fcc.gov/ecfs/document/view?id=7520944016","  (44 pages)")</f>
        <v>  (44 pages)</v>
      </c>
    </row>
    <row r="185" spans="1:8" ht="12.75">
      <c r="A185" s="4" t="s">
        <v>6</v>
      </c>
      <c r="B185" s="4" t="s">
        <v>190</v>
      </c>
      <c r="C185" s="4" t="s">
        <v>8</v>
      </c>
      <c r="D185" s="4" t="s">
        <v>21</v>
      </c>
      <c r="E185" s="4" t="s">
        <v>9</v>
      </c>
      <c r="F185" s="4" t="s">
        <v>10</v>
      </c>
      <c r="G185" s="4" t="s">
        <v>11</v>
      </c>
      <c r="H185" s="7" t="str">
        <f>HYPERLINK("http://apps.fcc.gov/ecfs/document/view?id=7520943930","Education Libraries Networks Coalition EdLiNC Comments in E Rate Proceeding (36 pages)")</f>
        <v>Education Libraries Networks Coalition EdLiNC Comments in E Rate Proceeding (36 pages)</v>
      </c>
    </row>
    <row r="186" spans="1:8" ht="12.75">
      <c r="A186" s="4" t="s">
        <v>6</v>
      </c>
      <c r="B186" s="4" t="s">
        <v>189</v>
      </c>
      <c r="C186" s="4" t="s">
        <v>8</v>
      </c>
      <c r="D186" s="4" t="s">
        <v>21</v>
      </c>
      <c r="E186" s="4" t="s">
        <v>9</v>
      </c>
      <c r="F186" s="4" t="s">
        <v>10</v>
      </c>
      <c r="G186" s="4" t="s">
        <v>11</v>
      </c>
      <c r="H186" s="7" t="str">
        <f>HYPERLINK("http://apps.fcc.gov/ecfs/document/view?id=7520943873","  (34 pages)")</f>
        <v>  (34 pages)</v>
      </c>
    </row>
    <row r="187" spans="1:8" ht="12.75">
      <c r="A187" s="4" t="s">
        <v>6</v>
      </c>
      <c r="B187" s="4" t="s">
        <v>188</v>
      </c>
      <c r="C187" s="4" t="s">
        <v>8</v>
      </c>
      <c r="D187" s="4" t="s">
        <v>21</v>
      </c>
      <c r="E187" s="4" t="s">
        <v>9</v>
      </c>
      <c r="F187" s="4" t="s">
        <v>10</v>
      </c>
      <c r="G187" s="4" t="s">
        <v>11</v>
      </c>
      <c r="H187" s="7" t="str">
        <f>HYPERLINK("http://apps.fcc.gov/ecfs/document/view?id=7520943900","  (95 pages)")</f>
        <v>  (95 pages)</v>
      </c>
    </row>
    <row r="188" spans="1:8" ht="12.75">
      <c r="A188" s="4" t="s">
        <v>6</v>
      </c>
      <c r="B188" s="4" t="s">
        <v>822</v>
      </c>
      <c r="C188" s="4" t="s">
        <v>41</v>
      </c>
      <c r="D188" s="4" t="s">
        <v>21</v>
      </c>
      <c r="E188" s="4" t="s">
        <v>9</v>
      </c>
      <c r="F188" s="4" t="s">
        <v>10</v>
      </c>
      <c r="G188" s="4" t="s">
        <v>11</v>
      </c>
      <c r="H188" s="7" t="str">
        <f>HYPERLINK("http://apps.fcc.gov/ecfs/document/view?id=7520944120","  (2 pages)")</f>
        <v>  (2 pages)</v>
      </c>
    </row>
    <row r="189" spans="1:8" ht="12.75">
      <c r="A189" s="4" t="s">
        <v>6</v>
      </c>
      <c r="B189" s="4" t="s">
        <v>187</v>
      </c>
      <c r="C189" s="4" t="s">
        <v>8</v>
      </c>
      <c r="D189" s="4" t="s">
        <v>21</v>
      </c>
      <c r="E189" s="4" t="s">
        <v>9</v>
      </c>
      <c r="F189" s="4" t="s">
        <v>10</v>
      </c>
      <c r="G189" s="4" t="s">
        <v>11</v>
      </c>
      <c r="H189" s="7" t="str">
        <f>HYPERLINK("http://apps.fcc.gov/ecfs/document/view?id=7520944087","  (37 pages)")</f>
        <v>  (37 pages)</v>
      </c>
    </row>
    <row r="190" spans="1:8" ht="12.75">
      <c r="A190" s="4" t="s">
        <v>6</v>
      </c>
      <c r="B190" s="4" t="s">
        <v>828</v>
      </c>
      <c r="C190" s="4" t="s">
        <v>597</v>
      </c>
      <c r="D190" s="4" t="s">
        <v>598</v>
      </c>
      <c r="E190" s="4" t="s">
        <v>524</v>
      </c>
      <c r="F190" s="4" t="s">
        <v>10</v>
      </c>
      <c r="G190" s="4" t="s">
        <v>11</v>
      </c>
      <c r="H190" s="7" t="str">
        <f>HYPERLINK("http://apps.fcc.gov/ecfs/document/view?id=7520942955","  (2 pages)")</f>
        <v>  (2 pages)</v>
      </c>
    </row>
    <row r="191" spans="1:8" ht="12.75">
      <c r="A191" s="4" t="s">
        <v>6</v>
      </c>
      <c r="B191" s="4" t="s">
        <v>640</v>
      </c>
      <c r="D191" s="4" t="s">
        <v>598</v>
      </c>
      <c r="E191" s="4" t="s">
        <v>598</v>
      </c>
      <c r="F191" s="4" t="s">
        <v>10</v>
      </c>
      <c r="G191" s="4" t="s">
        <v>11</v>
      </c>
      <c r="H191" s="7" t="str">
        <f>HYPERLINK("http://apps.fcc.gov/ecfs/document/view?id=7520942900","  (2 pages)")</f>
        <v>  (2 pages)</v>
      </c>
    </row>
    <row r="192" spans="1:8" ht="12.75">
      <c r="A192" s="4" t="s">
        <v>6</v>
      </c>
      <c r="B192" s="4" t="s">
        <v>891</v>
      </c>
      <c r="C192" s="4" t="s">
        <v>735</v>
      </c>
      <c r="D192" s="4" t="s">
        <v>728</v>
      </c>
      <c r="E192" s="4" t="s">
        <v>728</v>
      </c>
      <c r="F192" s="4" t="s">
        <v>10</v>
      </c>
      <c r="G192" s="4" t="s">
        <v>11</v>
      </c>
      <c r="H192" s="7" t="str">
        <f>HYPERLINK("http://apps.fcc.gov/ecfs/document/view?id=7520940292","survey response (1 page)")</f>
        <v>survey response (1 page)</v>
      </c>
    </row>
    <row r="193" spans="1:8" ht="12.75">
      <c r="A193" s="4" t="s">
        <v>6</v>
      </c>
      <c r="B193" s="4" t="s">
        <v>371</v>
      </c>
      <c r="C193" s="4" t="s">
        <v>8</v>
      </c>
      <c r="D193" s="4" t="s">
        <v>21</v>
      </c>
      <c r="E193" s="4" t="s">
        <v>21</v>
      </c>
      <c r="F193" s="4" t="s">
        <v>10</v>
      </c>
      <c r="G193" s="4" t="s">
        <v>11</v>
      </c>
      <c r="H193" s="7" t="str">
        <f>HYPERLINK("http://apps.fcc.gov/ecfs/document/view?id=7520943749","  (2 pages)")</f>
        <v>  (2 pages)</v>
      </c>
    </row>
    <row r="194" spans="1:8" ht="12.75">
      <c r="A194" s="4" t="s">
        <v>6</v>
      </c>
      <c r="B194" s="4" t="s">
        <v>471</v>
      </c>
      <c r="C194" s="4" t="s">
        <v>8</v>
      </c>
      <c r="D194" s="4" t="s">
        <v>333</v>
      </c>
      <c r="E194" s="4" t="s">
        <v>333</v>
      </c>
      <c r="F194" s="4" t="s">
        <v>10</v>
      </c>
      <c r="G194" s="4" t="s">
        <v>11</v>
      </c>
      <c r="H194" s="7" t="str">
        <f>HYPERLINK("http://apps.fcc.gov/ecfs/document/view?id=7520943301","  (1 page)")</f>
        <v>  (1 page)</v>
      </c>
    </row>
    <row r="195" spans="1:8" ht="12.75">
      <c r="A195" s="4" t="s">
        <v>6</v>
      </c>
      <c r="B195" s="4" t="s">
        <v>197</v>
      </c>
      <c r="C195" s="4" t="s">
        <v>8</v>
      </c>
      <c r="D195" s="4" t="s">
        <v>21</v>
      </c>
      <c r="E195" s="4" t="s">
        <v>9</v>
      </c>
      <c r="F195" s="4" t="s">
        <v>10</v>
      </c>
      <c r="G195" s="4" t="s">
        <v>11</v>
      </c>
      <c r="H195" s="7" t="str">
        <f>HYPERLINK("http://apps.fcc.gov/ecfs/document/view?id=7520944023","  (7 pages)")</f>
        <v>  (7 pages)</v>
      </c>
    </row>
    <row r="196" spans="1:8" ht="12.75">
      <c r="A196" s="4" t="s">
        <v>6</v>
      </c>
      <c r="B196" s="4" t="s">
        <v>196</v>
      </c>
      <c r="C196" s="4" t="s">
        <v>8</v>
      </c>
      <c r="D196" s="4" t="s">
        <v>21</v>
      </c>
      <c r="E196" s="4" t="s">
        <v>9</v>
      </c>
      <c r="F196" s="4" t="s">
        <v>10</v>
      </c>
      <c r="G196" s="4" t="s">
        <v>11</v>
      </c>
      <c r="H196" s="7" t="str">
        <f>HYPERLINK("http://apps.fcc.gov/ecfs/document/view?id=7520944010","  (14 pages)")</f>
        <v>  (14 pages)</v>
      </c>
    </row>
    <row r="197" spans="1:8" ht="12.75">
      <c r="A197" s="4" t="s">
        <v>6</v>
      </c>
      <c r="B197" s="4" t="s">
        <v>373</v>
      </c>
      <c r="C197" s="4" t="s">
        <v>8</v>
      </c>
      <c r="D197" s="4" t="s">
        <v>21</v>
      </c>
      <c r="E197" s="4" t="s">
        <v>21</v>
      </c>
      <c r="F197" s="4" t="s">
        <v>10</v>
      </c>
      <c r="G197" s="4" t="s">
        <v>11</v>
      </c>
      <c r="H197" s="7" t="str">
        <f>HYPERLINK("http://apps.fcc.gov/ecfs/document/view?id=7520943650","E Rate Consultants LLC Comment on E Rate NPRM  (4 pages)")</f>
        <v>E Rate Consultants LLC Comment on E Rate NPRM  (4 pages)</v>
      </c>
    </row>
    <row r="198" spans="1:8" ht="12.75">
      <c r="A198" s="4" t="s">
        <v>6</v>
      </c>
      <c r="B198" s="4" t="s">
        <v>195</v>
      </c>
      <c r="C198" s="4" t="s">
        <v>8</v>
      </c>
      <c r="D198" s="4" t="s">
        <v>21</v>
      </c>
      <c r="E198" s="4" t="s">
        <v>9</v>
      </c>
      <c r="F198" s="4" t="s">
        <v>10</v>
      </c>
      <c r="G198" s="4" t="s">
        <v>11</v>
      </c>
      <c r="H198" s="7" t="str">
        <f>HYPERLINK("http://apps.fcc.gov/ecfs/document/view?id=7520944026","  (33 pages)")</f>
        <v>  (33 pages)</v>
      </c>
    </row>
    <row r="199" spans="1:8" ht="12.75">
      <c r="A199" s="4" t="s">
        <v>6</v>
      </c>
      <c r="B199" s="4" t="s">
        <v>372</v>
      </c>
      <c r="C199" s="4" t="s">
        <v>8</v>
      </c>
      <c r="D199" s="4" t="s">
        <v>21</v>
      </c>
      <c r="E199" s="4" t="s">
        <v>21</v>
      </c>
      <c r="F199" s="4" t="s">
        <v>10</v>
      </c>
      <c r="G199" s="4" t="s">
        <v>11</v>
      </c>
      <c r="H199" s="7" t="str">
        <f>HYPERLINK("http://apps.fcc.gov/ecfs/document/view?id=7520943673","  (15 pages)")</f>
        <v>  (15 pages)</v>
      </c>
    </row>
    <row r="200" spans="1:8" ht="12.75">
      <c r="A200" s="4" t="s">
        <v>6</v>
      </c>
      <c r="B200" s="4" t="s">
        <v>193</v>
      </c>
      <c r="C200" s="4" t="s">
        <v>194</v>
      </c>
      <c r="D200" s="4" t="s">
        <v>21</v>
      </c>
      <c r="E200" s="4" t="s">
        <v>9</v>
      </c>
      <c r="F200" s="4" t="s">
        <v>10</v>
      </c>
      <c r="G200" s="4" t="s">
        <v>11</v>
      </c>
      <c r="H200" s="7" t="str">
        <f>HYPERLINK("http://apps.fcc.gov/ecfs/document/view?id=7520943975","  (39 pages)")</f>
        <v>  (39 pages)</v>
      </c>
    </row>
    <row r="201" spans="1:8" ht="12.75">
      <c r="A201" s="4" t="s">
        <v>6</v>
      </c>
      <c r="B201" s="4" t="s">
        <v>192</v>
      </c>
      <c r="C201" s="4" t="s">
        <v>8</v>
      </c>
      <c r="D201" s="4" t="s">
        <v>21</v>
      </c>
      <c r="E201" s="4" t="s">
        <v>9</v>
      </c>
      <c r="F201" s="4" t="s">
        <v>10</v>
      </c>
      <c r="G201" s="4" t="s">
        <v>11</v>
      </c>
      <c r="H201" s="7" t="str">
        <f>HYPERLINK("http://apps.fcc.gov/ecfs/document/view?id=7520944077","  (3 pages)")</f>
        <v>  (3 pages)</v>
      </c>
    </row>
    <row r="202" spans="1:8" ht="12.75">
      <c r="A202" s="4" t="s">
        <v>6</v>
      </c>
      <c r="B202" s="4" t="s">
        <v>657</v>
      </c>
      <c r="C202" s="4" t="s">
        <v>8</v>
      </c>
      <c r="D202" s="4" t="s">
        <v>598</v>
      </c>
      <c r="E202" s="4" t="s">
        <v>598</v>
      </c>
      <c r="F202" s="4" t="s">
        <v>10</v>
      </c>
      <c r="G202" s="4" t="s">
        <v>11</v>
      </c>
      <c r="H202" s="7" t="str">
        <f>HYPERLINK("http://apps.fcc.gov/ecfs/document/view?id=7520942871"," (1 page)")</f>
        <v> (1 page)</v>
      </c>
    </row>
    <row r="203" spans="1:8" ht="12.75">
      <c r="A203" s="4" t="s">
        <v>6</v>
      </c>
      <c r="B203" s="4" t="s">
        <v>470</v>
      </c>
      <c r="C203" s="4" t="s">
        <v>8</v>
      </c>
      <c r="D203" s="4" t="s">
        <v>333</v>
      </c>
      <c r="E203" s="4" t="s">
        <v>333</v>
      </c>
      <c r="F203" s="4" t="s">
        <v>10</v>
      </c>
      <c r="G203" s="4" t="s">
        <v>11</v>
      </c>
      <c r="H203" s="7" t="str">
        <f>HYPERLINK("http://apps.fcc.gov/ecfs/document/view?id=7520943422","  (1 page)")</f>
        <v>  (1 page)</v>
      </c>
    </row>
    <row r="204" spans="1:8" ht="12.75">
      <c r="A204" s="4" t="s">
        <v>6</v>
      </c>
      <c r="B204" s="4" t="s">
        <v>937</v>
      </c>
      <c r="C204" s="4" t="s">
        <v>574</v>
      </c>
      <c r="D204" s="4" t="s">
        <v>524</v>
      </c>
      <c r="E204" s="4" t="s">
        <v>524</v>
      </c>
      <c r="F204" s="4" t="s">
        <v>10</v>
      </c>
      <c r="G204" s="4" t="s">
        <v>11</v>
      </c>
      <c r="H204" s="7" t="str">
        <f>HYPERLINK("http://apps.fcc.gov/ecfs/document/view?id=7520943073"," (1 page)")</f>
        <v> (1 page)</v>
      </c>
    </row>
    <row r="205" spans="1:8" ht="12.75">
      <c r="A205" s="4" t="s">
        <v>6</v>
      </c>
      <c r="B205" s="4" t="s">
        <v>592</v>
      </c>
      <c r="C205" s="4" t="s">
        <v>8</v>
      </c>
      <c r="D205" s="4" t="s">
        <v>524</v>
      </c>
      <c r="E205" s="4" t="s">
        <v>524</v>
      </c>
      <c r="F205" s="4" t="s">
        <v>10</v>
      </c>
      <c r="G205" s="4" t="s">
        <v>11</v>
      </c>
      <c r="H205" s="7" t="str">
        <f>HYPERLINK("http://apps.fcc.gov/ecfs/document/view?id=7520943035","FCC Comment (1 page)")</f>
        <v>FCC Comment (1 page)</v>
      </c>
    </row>
    <row r="206" spans="1:12" ht="12.75">
      <c r="A206" t="s">
        <v>6</v>
      </c>
      <c r="B206" s="4" t="s">
        <v>1154</v>
      </c>
      <c r="C206" t="s">
        <v>1137</v>
      </c>
      <c r="D206" t="s">
        <v>1070</v>
      </c>
      <c r="E206" t="s">
        <v>1109</v>
      </c>
      <c r="F206" t="s">
        <v>10</v>
      </c>
      <c r="G206" t="s">
        <v>11</v>
      </c>
      <c r="H206" s="1" t="str">
        <f>HYPERLINK("http://apps.fcc.gov/ecfs/document/view?id=7520944436","  (1 page)")</f>
        <v>  (1 page)</v>
      </c>
      <c r="I206"/>
      <c r="J206"/>
      <c r="K206"/>
      <c r="L206"/>
    </row>
    <row r="207" spans="1:8" ht="12.75">
      <c r="A207" s="4" t="s">
        <v>6</v>
      </c>
      <c r="B207" s="4" t="s">
        <v>961</v>
      </c>
      <c r="C207" s="4" t="s">
        <v>618</v>
      </c>
      <c r="D207" s="4" t="s">
        <v>598</v>
      </c>
      <c r="E207" s="4" t="s">
        <v>524</v>
      </c>
      <c r="F207" s="4" t="s">
        <v>10</v>
      </c>
      <c r="G207" s="4" t="s">
        <v>11</v>
      </c>
      <c r="H207" s="7" t="str">
        <f>HYPERLINK("http://apps.fcc.gov/ecfs/document/view?id=7520943000","E rate Comments (1 page)")</f>
        <v>E rate Comments (1 page)</v>
      </c>
    </row>
    <row r="208" spans="1:8" ht="12.75">
      <c r="A208" s="4" t="s">
        <v>6</v>
      </c>
      <c r="B208" s="4" t="s">
        <v>956</v>
      </c>
      <c r="C208" s="4" t="s">
        <v>455</v>
      </c>
      <c r="D208" s="4" t="s">
        <v>333</v>
      </c>
      <c r="E208" s="4" t="s">
        <v>333</v>
      </c>
      <c r="F208" s="4" t="s">
        <v>10</v>
      </c>
      <c r="G208" s="4" t="s">
        <v>11</v>
      </c>
      <c r="H208" s="7" t="str">
        <f>HYPERLINK("http://apps.fcc.gov/ecfs/document/view?id=7520943393","  (1 page)")</f>
        <v>  (1 page)</v>
      </c>
    </row>
    <row r="209" spans="1:8" ht="12.75">
      <c r="A209" s="4" t="s">
        <v>6</v>
      </c>
      <c r="B209" s="4" t="s">
        <v>671</v>
      </c>
      <c r="C209" s="4" t="s">
        <v>8</v>
      </c>
      <c r="D209" s="4" t="s">
        <v>553</v>
      </c>
      <c r="E209" s="4" t="s">
        <v>553</v>
      </c>
      <c r="F209" s="4" t="s">
        <v>10</v>
      </c>
      <c r="G209" s="4" t="s">
        <v>11</v>
      </c>
      <c r="H209" s="7" t="str">
        <f>HYPERLINK("http://apps.fcc.gov/ecfs/document/view?id=7520942710","Erate Reform (3 pages)")</f>
        <v>Erate Reform (3 pages)</v>
      </c>
    </row>
    <row r="210" spans="1:8" ht="12.75">
      <c r="A210" s="4" t="s">
        <v>6</v>
      </c>
      <c r="B210" s="4" t="s">
        <v>998</v>
      </c>
      <c r="C210" s="4" t="s">
        <v>667</v>
      </c>
      <c r="D210" s="4" t="s">
        <v>553</v>
      </c>
      <c r="E210" s="4" t="s">
        <v>652</v>
      </c>
      <c r="F210" s="4" t="s">
        <v>10</v>
      </c>
      <c r="G210" s="4" t="s">
        <v>11</v>
      </c>
      <c r="H210" s="7" t="str">
        <f>HYPERLINK("http://apps.fcc.gov/ecfs/document/view?id=7520942767","  (2 pages)")</f>
        <v>  (2 pages)</v>
      </c>
    </row>
    <row r="211" spans="1:8" ht="12.75">
      <c r="A211" s="4" t="s">
        <v>6</v>
      </c>
      <c r="B211" s="4" t="s">
        <v>935</v>
      </c>
      <c r="C211" s="4" t="s">
        <v>148</v>
      </c>
      <c r="D211" s="4" t="s">
        <v>21</v>
      </c>
      <c r="E211" s="4" t="s">
        <v>9</v>
      </c>
      <c r="F211" s="4" t="s">
        <v>10</v>
      </c>
      <c r="G211" s="4" t="s">
        <v>11</v>
      </c>
      <c r="H211" s="7" t="str">
        <f>HYPERLINK("http://apps.fcc.gov/ecfs/document/view?id=7520944101","  (2 pages)")</f>
        <v>  (2 pages)</v>
      </c>
    </row>
    <row r="212" spans="1:8" ht="12.75">
      <c r="A212" s="4" t="s">
        <v>6</v>
      </c>
      <c r="B212" s="4" t="s">
        <v>323</v>
      </c>
      <c r="C212" s="4" t="s">
        <v>8</v>
      </c>
      <c r="D212" s="4" t="s">
        <v>21</v>
      </c>
      <c r="E212" s="4" t="s">
        <v>21</v>
      </c>
      <c r="F212" s="4" t="s">
        <v>10</v>
      </c>
      <c r="G212" s="4" t="s">
        <v>11</v>
      </c>
      <c r="H212" s="7" t="str">
        <f>HYPERLINK("http://apps.fcc.gov/ecfs/document/view?id=7520943796","  (2 pages)")</f>
        <v>  (2 pages)</v>
      </c>
    </row>
    <row r="213" spans="1:8" ht="12.75">
      <c r="A213" s="4" t="s">
        <v>6</v>
      </c>
      <c r="B213" s="4" t="s">
        <v>682</v>
      </c>
      <c r="C213" s="4" t="s">
        <v>8</v>
      </c>
      <c r="D213" s="4" t="s">
        <v>673</v>
      </c>
      <c r="E213" s="4" t="s">
        <v>673</v>
      </c>
      <c r="F213" s="4" t="s">
        <v>10</v>
      </c>
      <c r="G213" s="4" t="s">
        <v>11</v>
      </c>
      <c r="H213" s="7" t="str">
        <f>HYPERLINK("http://apps.fcc.gov/ecfs/document/view?id=7520942539","  (1 page)")</f>
        <v>  (1 page)</v>
      </c>
    </row>
    <row r="214" spans="1:8" ht="12.75">
      <c r="A214" s="4" t="s">
        <v>6</v>
      </c>
      <c r="B214" s="4" t="s">
        <v>859</v>
      </c>
      <c r="C214" s="4" t="s">
        <v>80</v>
      </c>
      <c r="D214" s="4" t="s">
        <v>21</v>
      </c>
      <c r="E214" s="4" t="s">
        <v>9</v>
      </c>
      <c r="F214" s="4" t="s">
        <v>10</v>
      </c>
      <c r="G214" s="4" t="s">
        <v>11</v>
      </c>
      <c r="H214" s="7" t="str">
        <f>HYPERLINK("http://apps.fcc.gov/ecfs/document/view?id=7520944102","  (1 page)")</f>
        <v>  (1 page)</v>
      </c>
    </row>
    <row r="215" spans="1:8" ht="12.75">
      <c r="A215" s="4" t="s">
        <v>6</v>
      </c>
      <c r="B215" s="4" t="s">
        <v>1020</v>
      </c>
      <c r="C215" s="4" t="s">
        <v>223</v>
      </c>
      <c r="D215" s="4" t="s">
        <v>21</v>
      </c>
      <c r="E215" s="4" t="s">
        <v>9</v>
      </c>
      <c r="F215" s="4" t="s">
        <v>10</v>
      </c>
      <c r="G215" s="4" t="s">
        <v>11</v>
      </c>
      <c r="H215" s="7" t="str">
        <f>HYPERLINK("http://apps.fcc.gov/ecfs/document/view?id=7520943986"," (1 page)")</f>
        <v> (1 page)</v>
      </c>
    </row>
    <row r="216" spans="1:8" ht="12.75">
      <c r="A216" s="4" t="s">
        <v>6</v>
      </c>
      <c r="B216" s="4" t="s">
        <v>185</v>
      </c>
      <c r="C216" s="4" t="s">
        <v>8</v>
      </c>
      <c r="D216" s="4" t="s">
        <v>21</v>
      </c>
      <c r="E216" s="4" t="s">
        <v>9</v>
      </c>
      <c r="F216" s="4" t="s">
        <v>10</v>
      </c>
      <c r="G216" s="4" t="s">
        <v>11</v>
      </c>
      <c r="H216" s="7" t="str">
        <f>HYPERLINK("http://apps.fcc.gov/ecfs/document/view?id=7520944046","E rate 2 0 NPRM Initial Comments (115 pages)")</f>
        <v>E rate 2 0 NPRM Initial Comments (115 pages)</v>
      </c>
    </row>
    <row r="217" spans="1:8" ht="12.75">
      <c r="A217" s="4" t="s">
        <v>6</v>
      </c>
      <c r="B217" s="4" t="s">
        <v>1074</v>
      </c>
      <c r="C217" s="4" t="s">
        <v>1073</v>
      </c>
      <c r="D217" s="4" t="s">
        <v>21</v>
      </c>
      <c r="E217" s="4" t="s">
        <v>1070</v>
      </c>
      <c r="F217" s="4" t="s">
        <v>10</v>
      </c>
      <c r="G217" s="4" t="s">
        <v>11</v>
      </c>
      <c r="H217" s="7" t="str">
        <f>HYPERLINK("http://apps.fcc.gov/ecfs/document/view?id=7520944421","  (2 pages)")</f>
        <v>  (2 pages)</v>
      </c>
    </row>
    <row r="218" spans="1:8" ht="12.75">
      <c r="A218" s="4" t="s">
        <v>6</v>
      </c>
      <c r="B218" s="4" t="s">
        <v>1010</v>
      </c>
      <c r="C218" s="4" t="s">
        <v>644</v>
      </c>
      <c r="D218" s="4" t="s">
        <v>598</v>
      </c>
      <c r="E218" s="4" t="s">
        <v>598</v>
      </c>
      <c r="F218" s="4" t="s">
        <v>10</v>
      </c>
      <c r="G218" s="4" t="s">
        <v>11</v>
      </c>
      <c r="H218" s="7" t="str">
        <f>HYPERLINK("http://apps.fcc.gov/ecfs/document/view?id=7520942911","  (1 page)")</f>
        <v>  (1 page)</v>
      </c>
    </row>
    <row r="219" spans="1:8" ht="12.75">
      <c r="A219" s="4" t="s">
        <v>6</v>
      </c>
      <c r="B219" s="4" t="s">
        <v>890</v>
      </c>
      <c r="C219" s="4" t="s">
        <v>777</v>
      </c>
      <c r="D219" s="4" t="s">
        <v>770</v>
      </c>
      <c r="E219" s="4" t="s">
        <v>768</v>
      </c>
      <c r="F219" s="4" t="s">
        <v>10</v>
      </c>
      <c r="G219" s="4" t="s">
        <v>11</v>
      </c>
      <c r="H219" s="7" t="str">
        <f>HYPERLINK("http://apps.fcc.gov/ecfs/document/view?id=7520938405"," (1 page)")</f>
        <v> (1 page)</v>
      </c>
    </row>
    <row r="220" spans="1:12" ht="12.75">
      <c r="A220" t="s">
        <v>6</v>
      </c>
      <c r="B220" s="4" t="s">
        <v>1148</v>
      </c>
      <c r="C220" t="s">
        <v>1118</v>
      </c>
      <c r="D220" t="s">
        <v>1109</v>
      </c>
      <c r="E220" t="s">
        <v>1109</v>
      </c>
      <c r="F220" t="s">
        <v>10</v>
      </c>
      <c r="G220" t="s">
        <v>11</v>
      </c>
      <c r="H220" s="1" t="str">
        <f>HYPERLINK("http://apps.fcc.gov/ecfs/document/view?id=7520944714","  (1 page)")</f>
        <v>  (1 page)</v>
      </c>
      <c r="I220"/>
      <c r="J220"/>
      <c r="K220"/>
      <c r="L220"/>
    </row>
    <row r="221" spans="1:8" ht="12.75">
      <c r="A221" s="4" t="s">
        <v>6</v>
      </c>
      <c r="B221" s="4" t="s">
        <v>1040</v>
      </c>
      <c r="C221" s="4" t="s">
        <v>245</v>
      </c>
      <c r="D221" s="4" t="s">
        <v>21</v>
      </c>
      <c r="E221" s="4" t="s">
        <v>9</v>
      </c>
      <c r="F221" s="4" t="s">
        <v>10</v>
      </c>
      <c r="G221" s="4" t="s">
        <v>11</v>
      </c>
      <c r="H221" s="7" t="str">
        <f>HYPERLINK("http://apps.fcc.gov/ecfs/document/view?id=7520944103","  (2 pages)")</f>
        <v>  (2 pages)</v>
      </c>
    </row>
    <row r="222" spans="1:8" ht="12.75">
      <c r="A222" s="4" t="s">
        <v>6</v>
      </c>
      <c r="B222" s="4" t="s">
        <v>666</v>
      </c>
      <c r="C222" s="4" t="s">
        <v>8</v>
      </c>
      <c r="D222" s="4" t="s">
        <v>652</v>
      </c>
      <c r="E222" s="4" t="s">
        <v>652</v>
      </c>
      <c r="F222" s="4" t="s">
        <v>10</v>
      </c>
      <c r="G222" s="4" t="s">
        <v>11</v>
      </c>
      <c r="H222" s="7" t="str">
        <f>HYPERLINK("http://apps.fcc.gov/ecfs/document/view?id=7520942800","  (2 pages)")</f>
        <v>  (2 pages)</v>
      </c>
    </row>
    <row r="223" spans="1:8" ht="12.75">
      <c r="A223" s="4" t="s">
        <v>6</v>
      </c>
      <c r="B223" s="4" t="s">
        <v>869</v>
      </c>
      <c r="C223" s="4" t="s">
        <v>415</v>
      </c>
      <c r="D223" s="4" t="s">
        <v>333</v>
      </c>
      <c r="E223" s="4" t="s">
        <v>333</v>
      </c>
      <c r="F223" s="4" t="s">
        <v>10</v>
      </c>
      <c r="G223" s="4" t="s">
        <v>11</v>
      </c>
      <c r="H223" s="7" t="str">
        <f>HYPERLINK("http://apps.fcc.gov/ecfs/document/view?id=7520943334","  (1 page)")</f>
        <v>  (1 page)</v>
      </c>
    </row>
    <row r="224" spans="1:8" ht="12.75">
      <c r="A224" s="4" t="s">
        <v>6</v>
      </c>
      <c r="B224" s="4" t="s">
        <v>184</v>
      </c>
      <c r="C224" s="4" t="s">
        <v>8</v>
      </c>
      <c r="D224" s="4" t="s">
        <v>9</v>
      </c>
      <c r="E224" s="4" t="s">
        <v>9</v>
      </c>
      <c r="F224" s="4" t="s">
        <v>10</v>
      </c>
      <c r="G224" s="4" t="s">
        <v>11</v>
      </c>
      <c r="H224" s="7" t="str">
        <f>HYPERLINK("http://apps.fcc.gov/ecfs/document/view?id=7520944249","  (1 page)")</f>
        <v>  (1 page)</v>
      </c>
    </row>
    <row r="225" spans="1:8" ht="12.75">
      <c r="A225" s="4" t="s">
        <v>6</v>
      </c>
      <c r="B225" s="4" t="s">
        <v>18</v>
      </c>
      <c r="C225" s="4" t="s">
        <v>8</v>
      </c>
      <c r="D225" s="4" t="s">
        <v>9</v>
      </c>
      <c r="E225" s="4" t="s">
        <v>9</v>
      </c>
      <c r="F225" s="4" t="s">
        <v>10</v>
      </c>
      <c r="G225" s="4" t="s">
        <v>11</v>
      </c>
      <c r="H225" s="7" t="str">
        <f>HYPERLINK("http://apps.fcc.gov/ecfs/document/view?id=7520944264","  (1 page)")</f>
        <v>  (1 page)</v>
      </c>
    </row>
    <row r="226" spans="1:8" ht="12.75">
      <c r="A226" s="4" t="s">
        <v>6</v>
      </c>
      <c r="B226" s="4" t="s">
        <v>993</v>
      </c>
      <c r="C226" s="4" t="s">
        <v>709</v>
      </c>
      <c r="D226" s="4" t="s">
        <v>707</v>
      </c>
      <c r="E226" s="4" t="s">
        <v>701</v>
      </c>
      <c r="F226" s="4" t="s">
        <v>10</v>
      </c>
      <c r="G226" s="4" t="s">
        <v>11</v>
      </c>
      <c r="H226" s="7" t="str">
        <f>HYPERLINK("http://apps.fcc.gov/ecfs/document/view?id=7520941449","  (2 pages)")</f>
        <v>  (2 pages)</v>
      </c>
    </row>
    <row r="227" spans="1:8" ht="12.75">
      <c r="A227" s="4" t="s">
        <v>6</v>
      </c>
      <c r="B227" s="4" t="s">
        <v>996</v>
      </c>
      <c r="C227" s="4" t="s">
        <v>704</v>
      </c>
      <c r="D227" s="4" t="s">
        <v>701</v>
      </c>
      <c r="E227" s="4" t="s">
        <v>685</v>
      </c>
      <c r="F227" s="4" t="s">
        <v>10</v>
      </c>
      <c r="G227" s="4" t="s">
        <v>11</v>
      </c>
      <c r="H227" s="7" t="str">
        <f>HYPERLINK("http://apps.fcc.gov/ecfs/document/view?id=7520942121","  (1 page)")</f>
        <v>  (1 page)</v>
      </c>
    </row>
    <row r="228" spans="1:8" ht="12.75">
      <c r="A228" s="4" t="s">
        <v>6</v>
      </c>
      <c r="B228" s="4" t="s">
        <v>661</v>
      </c>
      <c r="C228" s="4" t="s">
        <v>8</v>
      </c>
      <c r="D228" s="4" t="s">
        <v>652</v>
      </c>
      <c r="E228" s="4" t="s">
        <v>652</v>
      </c>
      <c r="F228" s="4" t="s">
        <v>10</v>
      </c>
      <c r="G228" s="4" t="s">
        <v>11</v>
      </c>
      <c r="H228" s="7" t="str">
        <f>HYPERLINK("http://apps.fcc.gov/ecfs/document/view?id=7520942828","  (2 pages)")</f>
        <v>  (2 pages)</v>
      </c>
    </row>
    <row r="229" spans="1:8" ht="12.75">
      <c r="A229" s="4" t="s">
        <v>6</v>
      </c>
      <c r="B229" s="4" t="s">
        <v>665</v>
      </c>
      <c r="C229" s="4" t="s">
        <v>8</v>
      </c>
      <c r="D229" s="4" t="s">
        <v>553</v>
      </c>
      <c r="E229" s="4" t="s">
        <v>652</v>
      </c>
      <c r="F229" s="4" t="s">
        <v>10</v>
      </c>
      <c r="G229" s="4" t="s">
        <v>11</v>
      </c>
      <c r="H229" s="7" t="str">
        <f>HYPERLINK("http://apps.fcc.gov/ecfs/document/view?id=7520942771","Fresno USD Comments to FCC E Rate 2 0 NPRM (5 pages)")</f>
        <v>Fresno USD Comments to FCC E Rate 2 0 NPRM (5 pages)</v>
      </c>
    </row>
    <row r="230" spans="1:8" ht="12.75">
      <c r="A230" s="4" t="s">
        <v>6</v>
      </c>
      <c r="B230" s="4" t="s">
        <v>322</v>
      </c>
      <c r="C230" s="4" t="s">
        <v>8</v>
      </c>
      <c r="D230" s="4" t="s">
        <v>21</v>
      </c>
      <c r="E230" s="4" t="s">
        <v>21</v>
      </c>
      <c r="F230" s="4" t="s">
        <v>10</v>
      </c>
      <c r="G230" s="4" t="s">
        <v>11</v>
      </c>
      <c r="H230" s="7" t="str">
        <f>HYPERLINK("http://apps.fcc.gov/ecfs/document/view?id=7520943778","Friday Institute Comments for WC 13 184 (8 pages)")</f>
        <v>Friday Institute Comments for WC 13 184 (8 pages)</v>
      </c>
    </row>
    <row r="231" spans="1:8" ht="12.75">
      <c r="A231" s="4" t="s">
        <v>6</v>
      </c>
      <c r="B231" s="4" t="s">
        <v>183</v>
      </c>
      <c r="C231" s="4" t="s">
        <v>8</v>
      </c>
      <c r="D231" s="4" t="s">
        <v>21</v>
      </c>
      <c r="E231" s="4" t="s">
        <v>9</v>
      </c>
      <c r="F231" s="4" t="s">
        <v>10</v>
      </c>
      <c r="G231" s="4" t="s">
        <v>11</v>
      </c>
      <c r="H231" s="7" t="str">
        <f>HYPERLINK("http://apps.fcc.gov/ecfs/document/view?id=7520944155","  (70 pages)")</f>
        <v>  (70 pages)</v>
      </c>
    </row>
    <row r="232" spans="1:8" ht="12.75">
      <c r="A232" s="4" t="s">
        <v>6</v>
      </c>
      <c r="B232" s="4" t="s">
        <v>182</v>
      </c>
      <c r="C232" s="4" t="s">
        <v>8</v>
      </c>
      <c r="D232" s="4" t="s">
        <v>21</v>
      </c>
      <c r="E232" s="4" t="s">
        <v>9</v>
      </c>
      <c r="F232" s="4" t="s">
        <v>10</v>
      </c>
      <c r="G232" s="4" t="s">
        <v>11</v>
      </c>
      <c r="H232" s="7" t="str">
        <f>HYPERLINK("http://apps.fcc.gov/ecfs/document/view?id=7520943979","Gaggle Comment on NPRM proposed changes to Email and Web Hosting (7 pages)")</f>
        <v>Gaggle Comment on NPRM proposed changes to Email and Web Hosting (7 pages)</v>
      </c>
    </row>
    <row r="233" spans="1:8" ht="12.75">
      <c r="A233" s="4" t="s">
        <v>6</v>
      </c>
      <c r="B233" s="4" t="s">
        <v>468</v>
      </c>
      <c r="C233" s="4" t="s">
        <v>8</v>
      </c>
      <c r="D233" s="4" t="s">
        <v>333</v>
      </c>
      <c r="E233" s="4" t="s">
        <v>333</v>
      </c>
      <c r="F233" s="4" t="s">
        <v>10</v>
      </c>
      <c r="G233" s="4" t="s">
        <v>11</v>
      </c>
      <c r="H233" s="7" t="str">
        <f>HYPERLINK("http://apps.fcc.gov/ecfs/document/view?id=7520943386","  (1 page)")</f>
        <v>  (1 page)</v>
      </c>
    </row>
    <row r="234" spans="1:8" ht="12.75">
      <c r="A234" s="4" t="s">
        <v>6</v>
      </c>
      <c r="B234" s="4" t="s">
        <v>518</v>
      </c>
      <c r="C234" s="4" t="s">
        <v>8</v>
      </c>
      <c r="D234" s="4" t="s">
        <v>333</v>
      </c>
      <c r="E234" s="4" t="s">
        <v>333</v>
      </c>
      <c r="F234" s="4" t="s">
        <v>10</v>
      </c>
      <c r="G234" s="4" t="s">
        <v>11</v>
      </c>
      <c r="H234" s="7" t="str">
        <f>HYPERLINK("http://apps.fcc.gov/ecfs/document/view?id=7520943266","  (1 page)")</f>
        <v>  (1 page)</v>
      </c>
    </row>
    <row r="235" spans="1:8" ht="12.75">
      <c r="A235" s="4" t="s">
        <v>6</v>
      </c>
      <c r="B235" s="4" t="s">
        <v>868</v>
      </c>
      <c r="C235" s="4" t="s">
        <v>674</v>
      </c>
      <c r="D235" s="4" t="s">
        <v>673</v>
      </c>
      <c r="E235" s="4" t="s">
        <v>673</v>
      </c>
      <c r="F235" s="4" t="s">
        <v>10</v>
      </c>
      <c r="G235" s="4" t="s">
        <v>11</v>
      </c>
      <c r="H235" s="7" t="str">
        <f>HYPERLINK("http://apps.fcc.gov/ecfs/document/view?id=7520942595","  (3 pages)")</f>
        <v>  (3 pages)</v>
      </c>
    </row>
    <row r="236" spans="1:8" ht="12.75">
      <c r="A236" s="4" t="s">
        <v>6</v>
      </c>
      <c r="B236" s="4" t="s">
        <v>1066</v>
      </c>
      <c r="C236" s="4" t="s">
        <v>8</v>
      </c>
      <c r="D236" s="4" t="s">
        <v>21</v>
      </c>
      <c r="E236" s="4" t="s">
        <v>9</v>
      </c>
      <c r="F236" s="4" t="s">
        <v>10</v>
      </c>
      <c r="G236" s="4" t="s">
        <v>11</v>
      </c>
      <c r="H236" s="7" t="str">
        <f>HYPERLINK("http://apps.fcc.gov/ecfs/document/view?id=7520944017","  (3 pages)")</f>
        <v>  (3 pages)</v>
      </c>
    </row>
    <row r="237" spans="1:8" ht="12.75">
      <c r="A237" s="4" t="s">
        <v>6</v>
      </c>
      <c r="B237" s="4" t="s">
        <v>177</v>
      </c>
      <c r="C237" s="4" t="s">
        <v>178</v>
      </c>
      <c r="D237" s="4" t="s">
        <v>1070</v>
      </c>
      <c r="E237" s="4" t="s">
        <v>1070</v>
      </c>
      <c r="F237" s="4" t="s">
        <v>10</v>
      </c>
      <c r="G237" s="4" t="s">
        <v>11</v>
      </c>
      <c r="H237" s="7" t="str">
        <f>HYPERLINK("http://apps.fcc.gov/ecfs/document/view?id=7520944359","Comments Corrected (20 pages)")</f>
        <v>Comments Corrected (20 pages)</v>
      </c>
    </row>
    <row r="238" spans="1:8" ht="12.75">
      <c r="A238" s="4" t="s">
        <v>6</v>
      </c>
      <c r="B238" s="4" t="s">
        <v>517</v>
      </c>
      <c r="C238" s="4" t="s">
        <v>8</v>
      </c>
      <c r="D238" s="4" t="s">
        <v>333</v>
      </c>
      <c r="E238" s="4" t="s">
        <v>333</v>
      </c>
      <c r="F238" s="4" t="s">
        <v>10</v>
      </c>
      <c r="G238" s="4" t="s">
        <v>11</v>
      </c>
      <c r="H238" s="7" t="str">
        <f>HYPERLINK("http://apps.fcc.gov/ecfs/document/view?id=7520943276","  (1 page)")</f>
        <v>  (1 page)</v>
      </c>
    </row>
    <row r="239" spans="1:8" ht="12.75">
      <c r="A239" s="4" t="s">
        <v>6</v>
      </c>
      <c r="B239" s="4" t="s">
        <v>983</v>
      </c>
      <c r="C239" s="4" t="s">
        <v>469</v>
      </c>
      <c r="D239" s="4" t="s">
        <v>333</v>
      </c>
      <c r="E239" s="4" t="s">
        <v>333</v>
      </c>
      <c r="F239" s="4" t="s">
        <v>10</v>
      </c>
      <c r="G239" s="4" t="s">
        <v>11</v>
      </c>
      <c r="H239" s="7" t="str">
        <f>HYPERLINK("http://apps.fcc.gov/ecfs/document/view?id=7520943293","  (1 page)")</f>
        <v>  (1 page)</v>
      </c>
    </row>
    <row r="240" spans="1:8" ht="12.75">
      <c r="A240" s="4" t="s">
        <v>6</v>
      </c>
      <c r="B240" s="4" t="s">
        <v>922</v>
      </c>
      <c r="C240" s="4" t="s">
        <v>724</v>
      </c>
      <c r="D240" s="4" t="s">
        <v>717</v>
      </c>
      <c r="E240" s="4" t="s">
        <v>717</v>
      </c>
      <c r="F240" s="4" t="s">
        <v>10</v>
      </c>
      <c r="G240" s="4" t="s">
        <v>11</v>
      </c>
      <c r="H240" s="7" t="str">
        <f>HYPERLINK("http://apps.fcc.gov/ecfs/document/view?id=7520940451","Erate Program Changes (2 pages)")</f>
        <v>Erate Program Changes (2 pages)</v>
      </c>
    </row>
    <row r="241" spans="1:8" ht="12.75">
      <c r="A241" s="4" t="s">
        <v>6</v>
      </c>
      <c r="B241" s="4" t="s">
        <v>544</v>
      </c>
      <c r="C241" s="4" t="s">
        <v>8</v>
      </c>
      <c r="D241" s="4" t="s">
        <v>524</v>
      </c>
      <c r="E241" s="4" t="s">
        <v>333</v>
      </c>
      <c r="F241" s="4" t="s">
        <v>10</v>
      </c>
      <c r="G241" s="4" t="s">
        <v>11</v>
      </c>
      <c r="H241" s="7" t="str">
        <f>HYPERLINK("http://apps.fcc.gov/ecfs/document/view?id=7520943184","NPRM Comments (3 pages)")</f>
        <v>NPRM Comments (3 pages)</v>
      </c>
    </row>
    <row r="242" spans="1:8" ht="12.75">
      <c r="A242" s="4" t="s">
        <v>6</v>
      </c>
      <c r="B242" s="4" t="s">
        <v>1007</v>
      </c>
      <c r="C242" s="4" t="s">
        <v>803</v>
      </c>
      <c r="D242" s="4" t="s">
        <v>804</v>
      </c>
      <c r="E242" s="4" t="s">
        <v>805</v>
      </c>
      <c r="F242" s="4" t="s">
        <v>10</v>
      </c>
      <c r="G242" s="4" t="s">
        <v>11</v>
      </c>
      <c r="H242" s="7" t="str">
        <f>HYPERLINK("http://apps.fcc.gov/ecfs/document/view?id=7520933012"," (1 page)")</f>
        <v> (1 page)</v>
      </c>
    </row>
    <row r="243" spans="1:8" ht="12.75">
      <c r="A243" s="4" t="s">
        <v>6</v>
      </c>
      <c r="B243" s="4" t="s">
        <v>850</v>
      </c>
      <c r="C243" s="4" t="s">
        <v>560</v>
      </c>
      <c r="D243" s="4" t="s">
        <v>524</v>
      </c>
      <c r="E243" s="4" t="s">
        <v>524</v>
      </c>
      <c r="F243" s="4" t="s">
        <v>10</v>
      </c>
      <c r="G243" s="4" t="s">
        <v>11</v>
      </c>
      <c r="H243" s="7" t="str">
        <f>HYPERLINK("http://apps.fcc.gov/ecfs/document/view?id=7520943088"," (1 page)")</f>
        <v> (1 page)</v>
      </c>
    </row>
    <row r="244" spans="1:12" ht="12.75">
      <c r="A244" t="s">
        <v>6</v>
      </c>
      <c r="B244" s="4" t="s">
        <v>1121</v>
      </c>
      <c r="C244" t="s">
        <v>8</v>
      </c>
      <c r="D244" t="s">
        <v>598</v>
      </c>
      <c r="E244" t="s">
        <v>1109</v>
      </c>
      <c r="F244" t="s">
        <v>10</v>
      </c>
      <c r="G244" t="s">
        <v>11</v>
      </c>
      <c r="H244" s="1" t="str">
        <f>HYPERLINK("http://apps.fcc.gov/ecfs/document/view?id=7520944653","  (2 pages)")</f>
        <v>  (2 pages)</v>
      </c>
      <c r="I244"/>
      <c r="J244"/>
      <c r="K244"/>
      <c r="L244"/>
    </row>
    <row r="245" spans="1:8" ht="12.75">
      <c r="A245" s="4" t="s">
        <v>6</v>
      </c>
      <c r="B245" s="4" t="s">
        <v>847</v>
      </c>
      <c r="C245" s="4" t="s">
        <v>403</v>
      </c>
      <c r="D245" s="4" t="s">
        <v>333</v>
      </c>
      <c r="E245" s="4" t="s">
        <v>333</v>
      </c>
      <c r="F245" s="4" t="s">
        <v>10</v>
      </c>
      <c r="G245" s="4" t="s">
        <v>11</v>
      </c>
      <c r="H245" s="7" t="str">
        <f>HYPERLINK("http://apps.fcc.gov/ecfs/document/view?id=7520943312","  (1 page)")</f>
        <v>  (1 page)</v>
      </c>
    </row>
    <row r="246" spans="1:8" ht="12.75">
      <c r="A246" s="4" t="s">
        <v>6</v>
      </c>
      <c r="B246" s="4" t="s">
        <v>1005</v>
      </c>
      <c r="C246" s="4" t="s">
        <v>643</v>
      </c>
      <c r="D246" s="4" t="s">
        <v>598</v>
      </c>
      <c r="E246" s="4" t="s">
        <v>598</v>
      </c>
      <c r="F246" s="4" t="s">
        <v>10</v>
      </c>
      <c r="G246" s="4" t="s">
        <v>11</v>
      </c>
      <c r="H246" s="7" t="str">
        <f>HYPERLINK("http://apps.fcc.gov/ecfs/document/view?id=7520942884","  (1 page)")</f>
        <v>  (1 page)</v>
      </c>
    </row>
    <row r="247" spans="1:8" ht="12.75">
      <c r="A247" s="4" t="s">
        <v>6</v>
      </c>
      <c r="B247" s="4" t="s">
        <v>973</v>
      </c>
      <c r="C247" s="4" t="s">
        <v>175</v>
      </c>
      <c r="D247" s="4" t="s">
        <v>21</v>
      </c>
      <c r="E247" s="4" t="s">
        <v>9</v>
      </c>
      <c r="F247" s="4" t="s">
        <v>10</v>
      </c>
      <c r="G247" s="4" t="s">
        <v>11</v>
      </c>
      <c r="H247" s="7" t="str">
        <f>HYPERLINK("http://apps.fcc.gov/ecfs/document/view?id=7520944105","  (1 page)")</f>
        <v>  (1 page)</v>
      </c>
    </row>
    <row r="248" spans="1:9" ht="12.75">
      <c r="A248" s="4" t="s">
        <v>6</v>
      </c>
      <c r="B248" s="4" t="s">
        <v>835</v>
      </c>
      <c r="C248" s="4" t="s">
        <v>1049</v>
      </c>
      <c r="D248" s="4" t="s">
        <v>685</v>
      </c>
      <c r="E248" s="4" t="s">
        <v>673</v>
      </c>
      <c r="F248" s="4" t="s">
        <v>10</v>
      </c>
      <c r="G248" s="4" t="s">
        <v>11</v>
      </c>
      <c r="H248" s="7" t="str">
        <f>HYPERLINK("http://apps.fcc.gov/ecfs/document/view?id=7520942464","  (2 pages)")</f>
        <v>  (2 pages)</v>
      </c>
      <c r="I248" s="7" t="str">
        <f>HYPERLINK("http://apps.fcc.gov/ecfs/document/view?id=7520942528","  (2 pages)")</f>
        <v>  (2 pages)</v>
      </c>
    </row>
    <row r="249" spans="1:8" ht="12.75">
      <c r="A249" s="4" t="s">
        <v>6</v>
      </c>
      <c r="B249" s="4" t="s">
        <v>369</v>
      </c>
      <c r="C249" s="4" t="s">
        <v>8</v>
      </c>
      <c r="D249" s="4" t="s">
        <v>21</v>
      </c>
      <c r="E249" s="4" t="s">
        <v>21</v>
      </c>
      <c r="F249" s="4" t="s">
        <v>10</v>
      </c>
      <c r="G249" s="4" t="s">
        <v>11</v>
      </c>
      <c r="H249" s="7" t="str">
        <f>HYPERLINK("http://apps.fcc.gov/ecfs/document/view?id=7520943591"," (1 page)")</f>
        <v> (1 page)</v>
      </c>
    </row>
    <row r="250" spans="1:8" ht="12.75">
      <c r="A250" s="4" t="s">
        <v>6</v>
      </c>
      <c r="B250" s="4" t="s">
        <v>466</v>
      </c>
      <c r="C250" s="4" t="s">
        <v>8</v>
      </c>
      <c r="D250" s="4" t="s">
        <v>333</v>
      </c>
      <c r="E250" s="4" t="s">
        <v>333</v>
      </c>
      <c r="F250" s="4" t="s">
        <v>10</v>
      </c>
      <c r="G250" s="4" t="s">
        <v>11</v>
      </c>
      <c r="H250" s="7" t="str">
        <f>HYPERLINK("http://apps.fcc.gov/ecfs/document/view?id=7520943387","  (1 page)")</f>
        <v>  (1 page)</v>
      </c>
    </row>
    <row r="251" spans="1:8" ht="12.75">
      <c r="A251" s="4" t="s">
        <v>6</v>
      </c>
      <c r="B251" s="4" t="s">
        <v>660</v>
      </c>
      <c r="C251" s="4" t="s">
        <v>8</v>
      </c>
      <c r="D251" s="4" t="s">
        <v>652</v>
      </c>
      <c r="E251" s="4" t="s">
        <v>652</v>
      </c>
      <c r="F251" s="4" t="s">
        <v>10</v>
      </c>
      <c r="G251" s="4" t="s">
        <v>11</v>
      </c>
      <c r="H251" s="7" t="str">
        <f>HYPERLINK("http://apps.fcc.gov/ecfs/document/view?id=7520942818","Groesbeck ISD s comment on changes to email and web hosting  (1 page)")</f>
        <v>Groesbeck ISD s comment on changes to email and web hosting  (1 page)</v>
      </c>
    </row>
    <row r="252" spans="1:8" ht="12.75">
      <c r="A252" s="4" t="s">
        <v>6</v>
      </c>
      <c r="B252" s="4" t="s">
        <v>917</v>
      </c>
      <c r="C252" s="4" t="s">
        <v>918</v>
      </c>
      <c r="D252" s="4" t="s">
        <v>21</v>
      </c>
      <c r="E252" s="4" t="s">
        <v>21</v>
      </c>
      <c r="F252" s="4" t="s">
        <v>10</v>
      </c>
      <c r="G252" s="4" t="s">
        <v>11</v>
      </c>
      <c r="H252" s="7" t="str">
        <f>HYPERLINK("http://apps.fcc.gov/ecfs/document/view?id=7520943860","  (1 page)")</f>
        <v>  (1 page)</v>
      </c>
    </row>
    <row r="253" spans="1:8" ht="12.75">
      <c r="A253" s="4" t="s">
        <v>6</v>
      </c>
      <c r="B253" s="4" t="s">
        <v>867</v>
      </c>
      <c r="C253" s="4" t="s">
        <v>634</v>
      </c>
      <c r="D253" s="4" t="s">
        <v>598</v>
      </c>
      <c r="E253" s="4" t="s">
        <v>598</v>
      </c>
      <c r="F253" s="4" t="s">
        <v>10</v>
      </c>
      <c r="G253" s="4" t="s">
        <v>11</v>
      </c>
      <c r="H253" s="7" t="str">
        <f>HYPERLINK("http://apps.fcc.gov/ecfs/document/view?id=7520942909","Haines Borough School District ERate NPRM Comments (2 pages)")</f>
        <v>Haines Borough School District ERate NPRM Comments (2 pages)</v>
      </c>
    </row>
    <row r="254" spans="1:8" ht="12.75">
      <c r="A254" s="4" t="s">
        <v>6</v>
      </c>
      <c r="B254" s="4" t="s">
        <v>971</v>
      </c>
      <c r="C254" s="4" t="s">
        <v>465</v>
      </c>
      <c r="D254" s="4" t="s">
        <v>333</v>
      </c>
      <c r="E254" s="4" t="s">
        <v>333</v>
      </c>
      <c r="F254" s="4" t="s">
        <v>10</v>
      </c>
      <c r="G254" s="4" t="s">
        <v>11</v>
      </c>
      <c r="H254" s="7" t="str">
        <f>HYPERLINK("http://apps.fcc.gov/ecfs/document/view?id=7520943418","  (1 page)")</f>
        <v>  (1 page)</v>
      </c>
    </row>
    <row r="255" spans="1:8" ht="12.75">
      <c r="A255" s="4" t="s">
        <v>6</v>
      </c>
      <c r="B255" s="4" t="s">
        <v>834</v>
      </c>
      <c r="C255" s="4" t="s">
        <v>395</v>
      </c>
      <c r="D255" s="4" t="s">
        <v>333</v>
      </c>
      <c r="E255" s="4" t="s">
        <v>333</v>
      </c>
      <c r="F255" s="4" t="s">
        <v>10</v>
      </c>
      <c r="G255" s="4" t="s">
        <v>11</v>
      </c>
      <c r="H255" s="7" t="str">
        <f>HYPERLINK("http://apps.fcc.gov/ecfs/document/view?id=7520943436","  (1 page)")</f>
        <v>  (1 page)</v>
      </c>
    </row>
    <row r="256" spans="1:12" ht="12.75">
      <c r="A256" t="s">
        <v>6</v>
      </c>
      <c r="B256" s="4" t="s">
        <v>1136</v>
      </c>
      <c r="C256" t="s">
        <v>8</v>
      </c>
      <c r="D256" t="s">
        <v>1070</v>
      </c>
      <c r="E256" t="s">
        <v>1109</v>
      </c>
      <c r="F256" t="s">
        <v>10</v>
      </c>
      <c r="G256" t="s">
        <v>11</v>
      </c>
      <c r="H256" s="1" t="str">
        <f>HYPERLINK("http://apps.fcc.gov/ecfs/document/view?id=7520944478","  (1 page)")</f>
        <v>  (1 page)</v>
      </c>
      <c r="I256"/>
      <c r="J256"/>
      <c r="K256"/>
      <c r="L256"/>
    </row>
    <row r="257" spans="1:8" ht="12.75">
      <c r="A257" s="4" t="s">
        <v>6</v>
      </c>
      <c r="B257" s="4" t="s">
        <v>877</v>
      </c>
      <c r="C257" s="4" t="s">
        <v>565</v>
      </c>
      <c r="D257" s="4" t="s">
        <v>524</v>
      </c>
      <c r="E257" s="4" t="s">
        <v>524</v>
      </c>
      <c r="F257" s="4" t="s">
        <v>10</v>
      </c>
      <c r="G257" s="4" t="s">
        <v>11</v>
      </c>
      <c r="H257" s="7" t="str">
        <f>HYPERLINK("http://apps.fcc.gov/ecfs/document/view?id=7520943076","  (1 page)")</f>
        <v>  (1 page)</v>
      </c>
    </row>
    <row r="258" spans="1:8" ht="12.75">
      <c r="A258" s="4" t="s">
        <v>6</v>
      </c>
      <c r="B258" s="4" t="s">
        <v>994</v>
      </c>
      <c r="C258" s="4" t="s">
        <v>995</v>
      </c>
      <c r="D258" s="4" t="s">
        <v>21</v>
      </c>
      <c r="E258" s="4" t="s">
        <v>21</v>
      </c>
      <c r="F258" s="4" t="s">
        <v>10</v>
      </c>
      <c r="G258" s="4" t="s">
        <v>11</v>
      </c>
      <c r="H258" s="7" t="str">
        <f>HYPERLINK("http://apps.fcc.gov/ecfs/document/view?id=7520943801","  (1 page)")</f>
        <v>  (1 page)</v>
      </c>
    </row>
    <row r="259" spans="1:9" ht="12.75">
      <c r="A259" s="4" t="s">
        <v>6</v>
      </c>
      <c r="B259" s="4" t="s">
        <v>321</v>
      </c>
      <c r="C259" s="4" t="s">
        <v>8</v>
      </c>
      <c r="D259" s="4" t="s">
        <v>21</v>
      </c>
      <c r="E259" s="4" t="s">
        <v>21</v>
      </c>
      <c r="F259" s="4" t="s">
        <v>10</v>
      </c>
      <c r="G259" s="4" t="s">
        <v>11</v>
      </c>
      <c r="H259" s="7" t="str">
        <f>HYPERLINK("http://apps.fcc.gov/ecfs/document/view?id=7520943753","  (2 pages)")</f>
        <v>  (2 pages)</v>
      </c>
      <c r="I259" s="7"/>
    </row>
    <row r="260" spans="1:8" ht="12.75">
      <c r="A260" s="4" t="s">
        <v>6</v>
      </c>
      <c r="B260" s="4" t="s">
        <v>173</v>
      </c>
      <c r="C260" s="4" t="s">
        <v>174</v>
      </c>
      <c r="D260" s="4" t="s">
        <v>21</v>
      </c>
      <c r="E260" s="4" t="s">
        <v>9</v>
      </c>
      <c r="F260" s="4" t="s">
        <v>10</v>
      </c>
      <c r="G260" s="4" t="s">
        <v>11</v>
      </c>
      <c r="H260" s="7" t="str">
        <f>HYPERLINK("http://apps.fcc.gov/ecfs/document/view?id=7520944147","HIEM E rate Modernization Comments (10 pages)")</f>
        <v>HIEM E rate Modernization Comments (10 pages)</v>
      </c>
    </row>
    <row r="261" spans="1:8" ht="12.75">
      <c r="A261" s="4" t="s">
        <v>6</v>
      </c>
      <c r="B261" s="4" t="s">
        <v>463</v>
      </c>
      <c r="C261" s="4" t="s">
        <v>8</v>
      </c>
      <c r="D261" s="4" t="s">
        <v>333</v>
      </c>
      <c r="E261" s="4" t="s">
        <v>333</v>
      </c>
      <c r="F261" s="4" t="s">
        <v>10</v>
      </c>
      <c r="G261" s="4" t="s">
        <v>11</v>
      </c>
      <c r="H261" s="7" t="str">
        <f>HYPERLINK("http://apps.fcc.gov/ecfs/document/view?id=7520943402","  (1 page)")</f>
        <v>  (1 page)</v>
      </c>
    </row>
    <row r="262" spans="1:8" ht="12.75">
      <c r="A262" s="4" t="s">
        <v>6</v>
      </c>
      <c r="B262" s="4" t="s">
        <v>462</v>
      </c>
      <c r="C262" s="4" t="s">
        <v>8</v>
      </c>
      <c r="D262" s="4" t="s">
        <v>333</v>
      </c>
      <c r="E262" s="4" t="s">
        <v>333</v>
      </c>
      <c r="F262" s="4" t="s">
        <v>10</v>
      </c>
      <c r="G262" s="4" t="s">
        <v>11</v>
      </c>
      <c r="H262" s="7" t="str">
        <f>HYPERLINK("http://apps.fcc.gov/ecfs/document/view?id=7520943391","  (1 page)")</f>
        <v>  (1 page)</v>
      </c>
    </row>
    <row r="263" spans="1:8" ht="12.75">
      <c r="A263" s="4" t="s">
        <v>6</v>
      </c>
      <c r="B263" s="4" t="s">
        <v>579</v>
      </c>
      <c r="C263" s="4" t="s">
        <v>8</v>
      </c>
      <c r="D263" s="4" t="s">
        <v>524</v>
      </c>
      <c r="E263" s="4" t="s">
        <v>524</v>
      </c>
      <c r="F263" s="4" t="s">
        <v>10</v>
      </c>
      <c r="G263" s="4" t="s">
        <v>11</v>
      </c>
      <c r="H263" s="9" t="str">
        <f>HYPERLINK("http://apps.fcc.gov/ecfs/document/view?id=7520943087","  (1 page)")</f>
        <v>  (1 page)</v>
      </c>
    </row>
    <row r="264" spans="1:8" ht="12.75">
      <c r="A264" s="4" t="s">
        <v>6</v>
      </c>
      <c r="B264" s="4" t="s">
        <v>169</v>
      </c>
      <c r="C264" s="4" t="s">
        <v>170</v>
      </c>
      <c r="D264" s="4" t="s">
        <v>21</v>
      </c>
      <c r="E264" s="4" t="s">
        <v>9</v>
      </c>
      <c r="F264" s="4" t="s">
        <v>10</v>
      </c>
      <c r="G264" s="4" t="s">
        <v>11</v>
      </c>
      <c r="H264" s="7" t="str">
        <f>HYPERLINK("http://apps.fcc.gov/ecfs/document/view?id=7520943921","  (30 pages)")</f>
        <v>  (30 pages)</v>
      </c>
    </row>
    <row r="265" spans="1:8" ht="12.75">
      <c r="A265" s="4" t="s">
        <v>6</v>
      </c>
      <c r="B265" s="4" t="s">
        <v>900</v>
      </c>
      <c r="C265" s="4" t="s">
        <v>609</v>
      </c>
      <c r="D265" s="4" t="s">
        <v>598</v>
      </c>
      <c r="E265" s="4" t="s">
        <v>524</v>
      </c>
      <c r="F265" s="4" t="s">
        <v>10</v>
      </c>
      <c r="G265" s="4" t="s">
        <v>11</v>
      </c>
      <c r="H265" s="7" t="str">
        <f>HYPERLINK("http://apps.fcc.gov/ecfs/document/view?id=7520942959"," (1 page)")</f>
        <v> (1 page)</v>
      </c>
    </row>
    <row r="266" spans="1:8" ht="12.75">
      <c r="A266" s="4" t="s">
        <v>6</v>
      </c>
      <c r="B266" s="4" t="s">
        <v>167</v>
      </c>
      <c r="C266" s="4" t="s">
        <v>168</v>
      </c>
      <c r="D266" s="4" t="s">
        <v>21</v>
      </c>
      <c r="E266" s="4" t="s">
        <v>9</v>
      </c>
      <c r="F266" s="4" t="s">
        <v>10</v>
      </c>
      <c r="G266" s="4" t="s">
        <v>11</v>
      </c>
      <c r="H266" s="7" t="str">
        <f>HYPERLINK("http://apps.fcc.gov/ecfs/document/view?id=7520944136","  (7 pages)")</f>
        <v>  (7 pages)</v>
      </c>
    </row>
    <row r="267" spans="1:8" ht="12.75">
      <c r="A267" s="4" t="s">
        <v>6</v>
      </c>
      <c r="B267" s="4" t="s">
        <v>1018</v>
      </c>
      <c r="C267" s="4" t="s">
        <v>548</v>
      </c>
      <c r="D267" s="4" t="s">
        <v>333</v>
      </c>
      <c r="E267" s="4" t="s">
        <v>333</v>
      </c>
      <c r="F267" s="4" t="s">
        <v>10</v>
      </c>
      <c r="G267" s="4" t="s">
        <v>11</v>
      </c>
      <c r="H267" s="7" t="str">
        <f>HYPERLINK("http://apps.fcc.gov/ecfs/document/view?id=7520943222","  (1 page)")</f>
        <v>  (1 page)</v>
      </c>
    </row>
    <row r="268" spans="1:8" ht="12.75">
      <c r="A268" s="4" t="s">
        <v>6</v>
      </c>
      <c r="B268" s="4" t="s">
        <v>836</v>
      </c>
      <c r="C268" s="4" t="s">
        <v>47</v>
      </c>
      <c r="D268" s="4" t="s">
        <v>21</v>
      </c>
      <c r="E268" s="4" t="s">
        <v>9</v>
      </c>
      <c r="F268" s="4" t="s">
        <v>10</v>
      </c>
      <c r="G268" s="4" t="s">
        <v>11</v>
      </c>
      <c r="H268" s="7" t="str">
        <f>HYPERLINK("http://apps.fcc.gov/ecfs/document/view?id=7520944045","  (1 page)")</f>
        <v>  (1 page)</v>
      </c>
    </row>
    <row r="269" spans="1:8" ht="12.75">
      <c r="A269" s="4" t="s">
        <v>6</v>
      </c>
      <c r="B269" s="4" t="s">
        <v>285</v>
      </c>
      <c r="C269" s="4" t="s">
        <v>8</v>
      </c>
      <c r="D269" s="4" t="s">
        <v>21</v>
      </c>
      <c r="E269" s="4" t="s">
        <v>21</v>
      </c>
      <c r="F269" s="4" t="s">
        <v>10</v>
      </c>
      <c r="G269" s="4" t="s">
        <v>11</v>
      </c>
      <c r="H269" s="7" t="str">
        <f>HYPERLINK("http://apps.fcc.gov/ecfs/document/view?id=7520943822","  (1 page)")</f>
        <v>  (1 page)</v>
      </c>
    </row>
    <row r="270" spans="1:8" ht="12.75">
      <c r="A270" s="4" t="s">
        <v>6</v>
      </c>
      <c r="B270" s="4" t="s">
        <v>872</v>
      </c>
      <c r="C270" s="4" t="s">
        <v>700</v>
      </c>
      <c r="D270" s="4" t="s">
        <v>701</v>
      </c>
      <c r="E270" s="4" t="s">
        <v>685</v>
      </c>
      <c r="F270" s="4" t="s">
        <v>10</v>
      </c>
      <c r="G270" s="4" t="s">
        <v>11</v>
      </c>
      <c r="H270" s="7" t="str">
        <f>HYPERLINK("http://apps.fcc.gov/ecfs/document/view?id=7520942145","  (2 pages)")</f>
        <v>  (2 pages)</v>
      </c>
    </row>
    <row r="271" spans="1:8" ht="12.75">
      <c r="A271" s="4" t="s">
        <v>6</v>
      </c>
      <c r="B271" s="4" t="s">
        <v>461</v>
      </c>
      <c r="C271" s="4" t="s">
        <v>8</v>
      </c>
      <c r="D271" s="4" t="s">
        <v>333</v>
      </c>
      <c r="E271" s="4" t="s">
        <v>333</v>
      </c>
      <c r="F271" s="4" t="s">
        <v>10</v>
      </c>
      <c r="G271" s="4" t="s">
        <v>11</v>
      </c>
      <c r="H271" s="7" t="str">
        <f>HYPERLINK("http://apps.fcc.gov/ecfs/document/view?id=7520943434","HISD NPRM 13 184 Comments (6 pages)")</f>
        <v>HISD NPRM 13 184 Comments (6 pages)</v>
      </c>
    </row>
    <row r="272" spans="1:8" ht="12.75">
      <c r="A272" s="4" t="s">
        <v>6</v>
      </c>
      <c r="B272" s="4" t="s">
        <v>578</v>
      </c>
      <c r="C272" s="4" t="s">
        <v>8</v>
      </c>
      <c r="D272" s="4" t="s">
        <v>524</v>
      </c>
      <c r="E272" s="4" t="s">
        <v>524</v>
      </c>
      <c r="F272" s="4" t="s">
        <v>10</v>
      </c>
      <c r="G272" s="4" t="s">
        <v>11</v>
      </c>
      <c r="H272" s="7" t="str">
        <f>HYPERLINK("http://apps.fcc.gov/ecfs/document/view?id=7520943050","  (1 page)")</f>
        <v>  (1 page)</v>
      </c>
    </row>
    <row r="273" spans="1:8" ht="12.75">
      <c r="A273" s="4" t="s">
        <v>6</v>
      </c>
      <c r="B273" s="4" t="s">
        <v>925</v>
      </c>
      <c r="C273" s="4" t="s">
        <v>447</v>
      </c>
      <c r="D273" s="4" t="s">
        <v>333</v>
      </c>
      <c r="E273" s="4" t="s">
        <v>333</v>
      </c>
      <c r="F273" s="4" t="s">
        <v>10</v>
      </c>
      <c r="G273" s="4" t="s">
        <v>11</v>
      </c>
      <c r="H273" s="7" t="str">
        <f>HYPERLINK("http://apps.fcc.gov/ecfs/document/view?id=7520943306","  (1 page)")</f>
        <v>  (1 page)</v>
      </c>
    </row>
    <row r="274" spans="1:8" ht="12.75">
      <c r="A274" s="4" t="s">
        <v>6</v>
      </c>
      <c r="B274" s="4" t="s">
        <v>166</v>
      </c>
      <c r="C274" s="4" t="s">
        <v>8</v>
      </c>
      <c r="D274" s="4" t="s">
        <v>21</v>
      </c>
      <c r="E274" s="4" t="s">
        <v>9</v>
      </c>
      <c r="F274" s="4" t="s">
        <v>10</v>
      </c>
      <c r="G274" s="4" t="s">
        <v>11</v>
      </c>
      <c r="H274" s="7" t="str">
        <f>HYPERLINK("http://apps.fcc.gov/ecfs/document/view?id=7520944064","  (2 pages)")</f>
        <v>  (2 pages)</v>
      </c>
    </row>
    <row r="275" spans="1:8" ht="12.75">
      <c r="A275" s="4" t="s">
        <v>6</v>
      </c>
      <c r="B275" s="4" t="s">
        <v>367</v>
      </c>
      <c r="C275" s="4" t="s">
        <v>8</v>
      </c>
      <c r="D275" s="4" t="s">
        <v>21</v>
      </c>
      <c r="E275" s="4" t="s">
        <v>21</v>
      </c>
      <c r="F275" s="4" t="s">
        <v>10</v>
      </c>
      <c r="G275" s="4" t="s">
        <v>11</v>
      </c>
      <c r="H275" s="7" t="str">
        <f>HYPERLINK("http://apps.fcc.gov/ecfs/document/view?id=7520943619","  (14 pages)")</f>
        <v>  (14 pages)</v>
      </c>
    </row>
    <row r="276" spans="1:8" ht="12.75">
      <c r="A276" s="4" t="s">
        <v>6</v>
      </c>
      <c r="B276" s="4" t="s">
        <v>542</v>
      </c>
      <c r="C276" s="4" t="s">
        <v>8</v>
      </c>
      <c r="D276" s="4" t="s">
        <v>333</v>
      </c>
      <c r="E276" s="4" t="s">
        <v>333</v>
      </c>
      <c r="F276" s="4" t="s">
        <v>10</v>
      </c>
      <c r="G276" s="4" t="s">
        <v>11</v>
      </c>
      <c r="H276" s="7" t="str">
        <f>HYPERLINK("http://apps.fcc.gov/ecfs/document/view?id=7520943225","  (10 pages)")</f>
        <v>  (10 pages)</v>
      </c>
    </row>
    <row r="277" spans="1:8" ht="12.75">
      <c r="A277" s="4" t="s">
        <v>6</v>
      </c>
      <c r="B277" s="4" t="s">
        <v>964</v>
      </c>
      <c r="C277" s="4" t="s">
        <v>8</v>
      </c>
      <c r="D277" s="4" t="s">
        <v>21</v>
      </c>
      <c r="E277" s="4" t="s">
        <v>9</v>
      </c>
      <c r="F277" s="4" t="s">
        <v>10</v>
      </c>
      <c r="G277" s="4" t="s">
        <v>11</v>
      </c>
      <c r="H277" s="7" t="str">
        <f>HYPERLINK("http://apps.fcc.gov/ecfs/document/view?id=7520944039","  (23 pages)")</f>
        <v>  (23 pages)</v>
      </c>
    </row>
    <row r="278" spans="1:8" ht="12.75">
      <c r="A278" s="4" t="s">
        <v>6</v>
      </c>
      <c r="B278" s="4" t="s">
        <v>952</v>
      </c>
      <c r="C278" s="4" t="s">
        <v>656</v>
      </c>
      <c r="D278" s="4" t="s">
        <v>652</v>
      </c>
      <c r="E278" s="4" t="s">
        <v>598</v>
      </c>
      <c r="F278" s="4" t="s">
        <v>10</v>
      </c>
      <c r="G278" s="4" t="s">
        <v>11</v>
      </c>
      <c r="H278" s="7" t="str">
        <f>HYPERLINK("http://apps.fcc.gov/ecfs/document/view?id=7520942843","  (1 page)")</f>
        <v>  (1 page)</v>
      </c>
    </row>
    <row r="279" spans="1:8" ht="12.75">
      <c r="A279" s="4" t="s">
        <v>6</v>
      </c>
      <c r="B279" s="4" t="s">
        <v>1081</v>
      </c>
      <c r="C279" s="4" t="s">
        <v>8</v>
      </c>
      <c r="D279" s="4" t="s">
        <v>21</v>
      </c>
      <c r="E279" s="4" t="s">
        <v>1070</v>
      </c>
      <c r="F279" s="4" t="s">
        <v>10</v>
      </c>
      <c r="G279" s="4" t="s">
        <v>11</v>
      </c>
      <c r="H279" s="3" t="str">
        <f>HYPERLINK("http://apps.fcc.gov/ecfs/document/view?id=7520945056","(26 pages)")</f>
        <v>(26 pages)</v>
      </c>
    </row>
    <row r="280" spans="1:8" ht="12.75">
      <c r="A280" s="4" t="s">
        <v>6</v>
      </c>
      <c r="B280" s="4" t="s">
        <v>966</v>
      </c>
      <c r="D280" s="4" t="s">
        <v>9</v>
      </c>
      <c r="E280" s="4" t="s">
        <v>9</v>
      </c>
      <c r="F280" s="4" t="s">
        <v>10</v>
      </c>
      <c r="G280" s="4" t="s">
        <v>11</v>
      </c>
      <c r="H280" s="7" t="str">
        <f>HYPERLINK("http://apps.fcc.gov/ecfs/document/view?id=7520944261","  (12 pages)")</f>
        <v>  (12 pages)</v>
      </c>
    </row>
    <row r="281" spans="1:8" ht="12.75">
      <c r="A281" s="4" t="s">
        <v>6</v>
      </c>
      <c r="B281" s="4" t="s">
        <v>986</v>
      </c>
      <c r="C281" s="4" t="s">
        <v>186</v>
      </c>
      <c r="D281" s="4" t="s">
        <v>21</v>
      </c>
      <c r="E281" s="4" t="s">
        <v>9</v>
      </c>
      <c r="F281" s="4" t="s">
        <v>10</v>
      </c>
      <c r="G281" s="4" t="s">
        <v>11</v>
      </c>
      <c r="H281" s="7" t="str">
        <f>HYPERLINK("http://apps.fcc.gov/ecfs/document/view?id=7520944149","  (5 pages)")</f>
        <v>  (5 pages)</v>
      </c>
    </row>
    <row r="282" spans="1:8" ht="12.75">
      <c r="A282" s="4" t="s">
        <v>6</v>
      </c>
      <c r="B282" s="4" t="s">
        <v>304</v>
      </c>
      <c r="C282" s="4" t="s">
        <v>292</v>
      </c>
      <c r="D282" s="4" t="s">
        <v>21</v>
      </c>
      <c r="E282" s="4" t="s">
        <v>21</v>
      </c>
      <c r="F282" s="4" t="s">
        <v>10</v>
      </c>
      <c r="G282" s="4" t="s">
        <v>11</v>
      </c>
      <c r="H282" s="9" t="str">
        <f>HYPERLINK("http://apps.fcc.gov/ecfs/document/view?id=7520943814","Internet2 Initial E rate NPRM Comments (26 pages)")</f>
        <v>Internet2 Initial E rate NPRM Comments (26 pages)</v>
      </c>
    </row>
    <row r="283" spans="1:8" ht="12.75">
      <c r="A283" s="4" t="s">
        <v>6</v>
      </c>
      <c r="B283" s="4" t="s">
        <v>284</v>
      </c>
      <c r="C283" s="4" t="s">
        <v>8</v>
      </c>
      <c r="D283" s="4" t="s">
        <v>21</v>
      </c>
      <c r="E283" s="4" t="s">
        <v>21</v>
      </c>
      <c r="F283" s="4" t="s">
        <v>10</v>
      </c>
      <c r="G283" s="4" t="s">
        <v>11</v>
      </c>
      <c r="H283" s="7" t="str">
        <f>HYPERLINK("http://apps.fcc.gov/ecfs/document/view?id=7520943841","  (7 pages)")</f>
        <v>  (7 pages)</v>
      </c>
    </row>
    <row r="284" spans="1:8" ht="12.75">
      <c r="A284" s="4" t="s">
        <v>6</v>
      </c>
      <c r="B284" s="4" t="s">
        <v>163</v>
      </c>
      <c r="C284" s="4" t="s">
        <v>8</v>
      </c>
      <c r="D284" s="4" t="s">
        <v>21</v>
      </c>
      <c r="E284" s="4" t="s">
        <v>9</v>
      </c>
      <c r="F284" s="4" t="s">
        <v>10</v>
      </c>
      <c r="G284" s="4" t="s">
        <v>11</v>
      </c>
      <c r="H284" s="9" t="str">
        <f>HYPERLINK("http://apps.fcc.gov/ecfs/document/view?id=7520943991","  (18 pages)")</f>
        <v>  (18 pages)</v>
      </c>
    </row>
    <row r="285" spans="1:8" ht="12.75">
      <c r="A285" s="4" t="s">
        <v>6</v>
      </c>
      <c r="B285" s="4" t="s">
        <v>20</v>
      </c>
      <c r="C285" s="4" t="s">
        <v>8</v>
      </c>
      <c r="D285" s="4" t="s">
        <v>21</v>
      </c>
      <c r="E285" s="4" t="s">
        <v>9</v>
      </c>
      <c r="F285" s="4" t="s">
        <v>10</v>
      </c>
      <c r="G285" s="4" t="s">
        <v>11</v>
      </c>
      <c r="H285" s="7" t="str">
        <f>HYPERLINK("http://apps.fcc.gov/ecfs/document/view?id=7520943893","  (3 pages)")</f>
        <v>  (3 pages)</v>
      </c>
    </row>
    <row r="286" spans="1:8" ht="12.75">
      <c r="A286" s="4" t="s">
        <v>6</v>
      </c>
      <c r="B286" s="4" t="s">
        <v>829</v>
      </c>
      <c r="C286" s="4" t="s">
        <v>588</v>
      </c>
      <c r="D286" s="4" t="s">
        <v>524</v>
      </c>
      <c r="E286" s="4" t="s">
        <v>524</v>
      </c>
      <c r="F286" s="4" t="s">
        <v>10</v>
      </c>
      <c r="G286" s="4" t="s">
        <v>11</v>
      </c>
      <c r="H286" s="7" t="str">
        <f>HYPERLINK("http://apps.fcc.gov/ecfs/document/view?id=7520943033","  (2 pages)")</f>
        <v>  (2 pages)</v>
      </c>
    </row>
    <row r="287" spans="1:8" ht="12.75">
      <c r="A287" s="4" t="s">
        <v>6</v>
      </c>
      <c r="B287" s="4" t="s">
        <v>164</v>
      </c>
      <c r="C287" s="4" t="s">
        <v>8</v>
      </c>
      <c r="D287" s="4" t="s">
        <v>21</v>
      </c>
      <c r="E287" s="4" t="s">
        <v>9</v>
      </c>
      <c r="F287" s="4" t="s">
        <v>10</v>
      </c>
      <c r="G287" s="4" t="s">
        <v>11</v>
      </c>
      <c r="H287" s="7" t="str">
        <f>HYPERLINK("http://apps.fcc.gov/ecfs/document/view?id=7520944071","  (27 pages)")</f>
        <v>  (27 pages)</v>
      </c>
    </row>
    <row r="288" spans="1:8" ht="12.75">
      <c r="A288" s="4" t="s">
        <v>6</v>
      </c>
      <c r="B288" s="4" t="s">
        <v>516</v>
      </c>
      <c r="C288" s="4" t="s">
        <v>8</v>
      </c>
      <c r="D288" s="4" t="s">
        <v>333</v>
      </c>
      <c r="E288" s="4" t="s">
        <v>333</v>
      </c>
      <c r="F288" s="4" t="s">
        <v>10</v>
      </c>
      <c r="G288" s="4" t="s">
        <v>11</v>
      </c>
      <c r="H288" s="7" t="str">
        <f>HYPERLINK("http://apps.fcc.gov/ecfs/document/view?id=7520943257","  (1 page)")</f>
        <v>  (1 page)</v>
      </c>
    </row>
    <row r="289" spans="1:8" ht="12.75">
      <c r="A289" s="4" t="s">
        <v>6</v>
      </c>
      <c r="B289" s="4" t="s">
        <v>162</v>
      </c>
      <c r="C289" s="4" t="s">
        <v>8</v>
      </c>
      <c r="D289" s="4" t="s">
        <v>9</v>
      </c>
      <c r="E289" s="4" t="s">
        <v>9</v>
      </c>
      <c r="F289" s="4" t="s">
        <v>10</v>
      </c>
      <c r="G289" s="4" t="s">
        <v>11</v>
      </c>
      <c r="H289" s="7" t="str">
        <f>HYPERLINK("http://apps.fcc.gov/ecfs/document/view?id=7520944226","  (1 page)")</f>
        <v>  (1 page)</v>
      </c>
    </row>
    <row r="290" spans="1:8" ht="12.75">
      <c r="A290" s="4" t="s">
        <v>6</v>
      </c>
      <c r="B290" s="4" t="s">
        <v>459</v>
      </c>
      <c r="C290" s="4" t="s">
        <v>8</v>
      </c>
      <c r="D290" s="4" t="s">
        <v>333</v>
      </c>
      <c r="E290" s="4" t="s">
        <v>333</v>
      </c>
      <c r="F290" s="4" t="s">
        <v>10</v>
      </c>
      <c r="G290" s="4" t="s">
        <v>11</v>
      </c>
      <c r="H290" s="7" t="str">
        <f>HYPERLINK("http://apps.fcc.gov/ecfs/document/view?id=7520943364"," (1 page)")</f>
        <v> (1 page)</v>
      </c>
    </row>
    <row r="291" spans="1:8" ht="12.75">
      <c r="A291" s="4" t="s">
        <v>6</v>
      </c>
      <c r="B291" s="4" t="s">
        <v>458</v>
      </c>
      <c r="C291" s="4" t="s">
        <v>8</v>
      </c>
      <c r="D291" s="4" t="s">
        <v>333</v>
      </c>
      <c r="E291" s="4" t="s">
        <v>333</v>
      </c>
      <c r="F291" s="4" t="s">
        <v>10</v>
      </c>
      <c r="G291" s="4" t="s">
        <v>11</v>
      </c>
      <c r="H291" s="7" t="str">
        <f>HYPERLINK("http://apps.fcc.gov/ecfs/document/view?id=7520943425","  (1 page)")</f>
        <v>  (1 page)</v>
      </c>
    </row>
    <row r="292" spans="1:8" ht="12.75">
      <c r="A292" s="4" t="s">
        <v>6</v>
      </c>
      <c r="B292" s="4" t="s">
        <v>366</v>
      </c>
      <c r="C292" s="4" t="s">
        <v>8</v>
      </c>
      <c r="D292" s="4" t="s">
        <v>333</v>
      </c>
      <c r="E292" s="4" t="s">
        <v>21</v>
      </c>
      <c r="F292" s="4" t="s">
        <v>10</v>
      </c>
      <c r="G292" s="4" t="s">
        <v>11</v>
      </c>
      <c r="H292" s="7" t="str">
        <f>HYPERLINK("http://apps.fcc.gov/ecfs/document/view?id=7520943450","  (1 page)")</f>
        <v>  (1 page)</v>
      </c>
    </row>
    <row r="293" spans="1:8" ht="12.75">
      <c r="A293" s="4" t="s">
        <v>6</v>
      </c>
      <c r="B293" s="4" t="s">
        <v>457</v>
      </c>
      <c r="C293" s="4" t="s">
        <v>8</v>
      </c>
      <c r="D293" s="4" t="s">
        <v>333</v>
      </c>
      <c r="E293" s="4" t="s">
        <v>333</v>
      </c>
      <c r="F293" s="4" t="s">
        <v>10</v>
      </c>
      <c r="G293" s="4" t="s">
        <v>11</v>
      </c>
      <c r="H293" s="7" t="str">
        <f>HYPERLINK("http://apps.fcc.gov/ecfs/document/view?id=7520943328","  (1 page)")</f>
        <v>  (1 page)</v>
      </c>
    </row>
    <row r="294" spans="1:8" ht="12.75">
      <c r="A294" s="4" t="s">
        <v>6</v>
      </c>
      <c r="B294" s="4" t="s">
        <v>988</v>
      </c>
      <c r="C294" s="4" t="s">
        <v>8</v>
      </c>
      <c r="D294" s="4" t="s">
        <v>9</v>
      </c>
      <c r="E294" s="4" t="s">
        <v>9</v>
      </c>
      <c r="F294" s="4" t="s">
        <v>10</v>
      </c>
      <c r="G294" s="4" t="s">
        <v>11</v>
      </c>
      <c r="H294" s="7" t="str">
        <f>HYPERLINK("http://apps.fcc.gov/ecfs/document/view?id=7520944273","Gaggle e rate support (1 page)")</f>
        <v>Gaggle e rate support (1 page)</v>
      </c>
    </row>
    <row r="295" spans="1:8" ht="12.75">
      <c r="A295" s="4" t="s">
        <v>6</v>
      </c>
      <c r="B295" s="4" t="s">
        <v>456</v>
      </c>
      <c r="C295" s="4" t="s">
        <v>8</v>
      </c>
      <c r="D295" s="4" t="s">
        <v>333</v>
      </c>
      <c r="E295" s="4" t="s">
        <v>333</v>
      </c>
      <c r="F295" s="4" t="s">
        <v>10</v>
      </c>
      <c r="G295" s="4" t="s">
        <v>11</v>
      </c>
      <c r="H295" s="7" t="str">
        <f>HYPERLINK("http://apps.fcc.gov/ecfs/document/view?id=7520943365"," (1 page)")</f>
        <v> (1 page)</v>
      </c>
    </row>
    <row r="296" spans="1:12" ht="12.75">
      <c r="A296" t="s">
        <v>6</v>
      </c>
      <c r="B296" s="4" t="s">
        <v>1117</v>
      </c>
      <c r="C296" t="s">
        <v>8</v>
      </c>
      <c r="D296" t="s">
        <v>1109</v>
      </c>
      <c r="E296" t="s">
        <v>1109</v>
      </c>
      <c r="F296" t="s">
        <v>10</v>
      </c>
      <c r="G296" t="s">
        <v>11</v>
      </c>
      <c r="H296" s="1" t="str">
        <f>HYPERLINK("http://apps.fcc.gov/ecfs/document/view?id=7520944715","  (1 page)")</f>
        <v>  (1 page)</v>
      </c>
      <c r="I296"/>
      <c r="J296"/>
      <c r="K296"/>
      <c r="L296"/>
    </row>
    <row r="297" spans="1:8" ht="12.75">
      <c r="A297" s="4" t="s">
        <v>6</v>
      </c>
      <c r="B297" s="4" t="s">
        <v>638</v>
      </c>
      <c r="C297" s="4" t="s">
        <v>958</v>
      </c>
      <c r="D297" s="4" t="s">
        <v>598</v>
      </c>
      <c r="E297" s="4" t="s">
        <v>598</v>
      </c>
      <c r="F297" s="4" t="s">
        <v>10</v>
      </c>
      <c r="G297" s="4" t="s">
        <v>11</v>
      </c>
      <c r="H297" s="7" t="str">
        <f>HYPERLINK("http://apps.fcc.gov/ecfs/document/view?id=7520942907","Chico USD Comment on E Rate NPRM (1 page)")</f>
        <v>Chico USD Comment on E Rate NPRM (1 page)</v>
      </c>
    </row>
    <row r="298" spans="1:8" ht="12.75">
      <c r="A298" s="4" t="s">
        <v>6</v>
      </c>
      <c r="B298" s="4" t="s">
        <v>160</v>
      </c>
      <c r="C298" s="4" t="s">
        <v>8</v>
      </c>
      <c r="D298" s="4" t="s">
        <v>9</v>
      </c>
      <c r="E298" s="4" t="s">
        <v>9</v>
      </c>
      <c r="F298" s="4" t="s">
        <v>10</v>
      </c>
      <c r="G298" s="4" t="s">
        <v>11</v>
      </c>
      <c r="H298" s="7" t="str">
        <f>HYPERLINK("http://apps.fcc.gov/ecfs/document/view?id=7520944230","  (1 page)")</f>
        <v>  (1 page)</v>
      </c>
    </row>
    <row r="299" spans="1:8" ht="12.75">
      <c r="A299" s="4" t="s">
        <v>6</v>
      </c>
      <c r="B299" s="4" t="s">
        <v>719</v>
      </c>
      <c r="C299" s="4" t="s">
        <v>8</v>
      </c>
      <c r="D299" s="4" t="s">
        <v>717</v>
      </c>
      <c r="E299" s="4" t="s">
        <v>707</v>
      </c>
      <c r="F299" s="4" t="s">
        <v>10</v>
      </c>
      <c r="G299" s="4" t="s">
        <v>11</v>
      </c>
      <c r="H299" s="7" t="str">
        <f>HYPERLINK("http://apps.fcc.gov/ecfs/document/view?id=7520940508"," (1 page)")</f>
        <v> (1 page)</v>
      </c>
    </row>
    <row r="300" spans="1:8" ht="12.75">
      <c r="A300" s="4" t="s">
        <v>6</v>
      </c>
      <c r="B300" s="4" t="s">
        <v>1050</v>
      </c>
      <c r="C300" s="4" t="s">
        <v>181</v>
      </c>
      <c r="D300" s="4" t="s">
        <v>21</v>
      </c>
      <c r="E300" s="4" t="s">
        <v>9</v>
      </c>
      <c r="F300" s="4" t="s">
        <v>10</v>
      </c>
      <c r="G300" s="4" t="s">
        <v>11</v>
      </c>
      <c r="H300" s="7" t="str">
        <f>HYPERLINK("http://apps.fcc.gov/ecfs/document/view?id=7520944110","  (2 pages)")</f>
        <v>  (2 pages)</v>
      </c>
    </row>
    <row r="301" spans="1:8" ht="12.75">
      <c r="A301" s="4" t="s">
        <v>6</v>
      </c>
      <c r="B301" s="4" t="s">
        <v>1051</v>
      </c>
      <c r="C301" s="4" t="s">
        <v>140</v>
      </c>
      <c r="D301" s="4" t="s">
        <v>21</v>
      </c>
      <c r="E301" s="4" t="s">
        <v>9</v>
      </c>
      <c r="F301" s="4" t="s">
        <v>10</v>
      </c>
      <c r="G301" s="4" t="s">
        <v>11</v>
      </c>
      <c r="H301" s="7" t="str">
        <f>HYPERLINK("http://apps.fcc.gov/ecfs/document/view?id=7520944054","ERate Letter for Jefferson County Schools Alabama (3 pages)")</f>
        <v>ERate Letter for Jefferson County Schools Alabama (3 pages)</v>
      </c>
    </row>
    <row r="302" spans="1:12" ht="12.75">
      <c r="A302" t="s">
        <v>6</v>
      </c>
      <c r="B302" s="4" t="s">
        <v>1134</v>
      </c>
      <c r="C302" t="s">
        <v>8</v>
      </c>
      <c r="D302" t="s">
        <v>1070</v>
      </c>
      <c r="E302" t="s">
        <v>1109</v>
      </c>
      <c r="F302" t="s">
        <v>10</v>
      </c>
      <c r="G302" t="s">
        <v>11</v>
      </c>
      <c r="H302" s="1" t="str">
        <f>HYPERLINK("http://apps.fcc.gov/ecfs/document/view?id=7520944431","  (1 page)")</f>
        <v>  (1 page)</v>
      </c>
      <c r="I302"/>
      <c r="J302"/>
      <c r="K302"/>
      <c r="L302"/>
    </row>
    <row r="303" spans="1:8" ht="12.75">
      <c r="A303" s="4" t="s">
        <v>6</v>
      </c>
      <c r="B303" s="4" t="s">
        <v>453</v>
      </c>
      <c r="C303" s="4" t="s">
        <v>8</v>
      </c>
      <c r="D303" s="4" t="s">
        <v>333</v>
      </c>
      <c r="E303" s="4" t="s">
        <v>333</v>
      </c>
      <c r="F303" s="4" t="s">
        <v>10</v>
      </c>
      <c r="G303" s="4" t="s">
        <v>11</v>
      </c>
      <c r="H303" s="7" t="str">
        <f>HYPERLINK("http://apps.fcc.gov/ecfs/document/view?id=7520943430","  (1 page)")</f>
        <v>  (1 page)</v>
      </c>
    </row>
    <row r="304" spans="1:9" ht="12.75">
      <c r="A304" s="4" t="s">
        <v>6</v>
      </c>
      <c r="B304" s="4" t="s">
        <v>452</v>
      </c>
      <c r="C304" s="4" t="s">
        <v>8</v>
      </c>
      <c r="D304" s="4" t="s">
        <v>524</v>
      </c>
      <c r="E304" s="4" t="s">
        <v>333</v>
      </c>
      <c r="F304" s="4" t="s">
        <v>10</v>
      </c>
      <c r="G304" s="4" t="s">
        <v>11</v>
      </c>
      <c r="H304" s="7" t="str">
        <f>HYPERLINK("http://apps.fcc.gov/ecfs/document/view?id=7520943161","  (1 page)")</f>
        <v>  (1 page)</v>
      </c>
      <c r="I304" s="7"/>
    </row>
    <row r="305" spans="1:8" ht="12.75">
      <c r="A305" s="4" t="s">
        <v>6</v>
      </c>
      <c r="B305" s="4" t="s">
        <v>616</v>
      </c>
      <c r="C305" s="4" t="s">
        <v>8</v>
      </c>
      <c r="D305" s="4" t="s">
        <v>598</v>
      </c>
      <c r="E305" s="4" t="s">
        <v>524</v>
      </c>
      <c r="F305" s="4" t="s">
        <v>10</v>
      </c>
      <c r="G305" s="4" t="s">
        <v>11</v>
      </c>
      <c r="H305" s="7" t="str">
        <f>HYPERLINK("http://apps.fcc.gov/ecfs/document/view?id=7520942996"," (1 page)")</f>
        <v> (1 page)</v>
      </c>
    </row>
    <row r="306" spans="1:8" ht="12.75">
      <c r="A306" s="4" t="s">
        <v>6</v>
      </c>
      <c r="B306" s="4" t="s">
        <v>157</v>
      </c>
      <c r="C306" s="4" t="s">
        <v>8</v>
      </c>
      <c r="D306" s="4" t="s">
        <v>9</v>
      </c>
      <c r="E306" s="4" t="s">
        <v>9</v>
      </c>
      <c r="F306" s="4" t="s">
        <v>10</v>
      </c>
      <c r="G306" s="4" t="s">
        <v>11</v>
      </c>
      <c r="H306" s="7" t="str">
        <f>HYPERLINK("http://apps.fcc.gov/ecfs/document/view?id=7520944229","  (1 page)")</f>
        <v>  (1 page)</v>
      </c>
    </row>
    <row r="307" spans="1:8" ht="12.75">
      <c r="A307" s="4" t="s">
        <v>6</v>
      </c>
      <c r="B307" s="4" t="s">
        <v>451</v>
      </c>
      <c r="C307" s="4" t="s">
        <v>8</v>
      </c>
      <c r="D307" s="4" t="s">
        <v>333</v>
      </c>
      <c r="E307" s="4" t="s">
        <v>333</v>
      </c>
      <c r="F307" s="4" t="s">
        <v>10</v>
      </c>
      <c r="G307" s="4" t="s">
        <v>11</v>
      </c>
      <c r="H307" s="7" t="str">
        <f>HYPERLINK("http://apps.fcc.gov/ecfs/document/view?id=7520943314","  (1 page)")</f>
        <v>  (1 page)</v>
      </c>
    </row>
    <row r="308" spans="1:8" ht="12.75">
      <c r="A308" s="4" t="s">
        <v>6</v>
      </c>
      <c r="B308" s="4" t="s">
        <v>744</v>
      </c>
      <c r="C308" s="4" t="s">
        <v>8</v>
      </c>
      <c r="D308" s="4" t="s">
        <v>738</v>
      </c>
      <c r="E308" s="4" t="s">
        <v>738</v>
      </c>
      <c r="F308" s="4" t="s">
        <v>10</v>
      </c>
      <c r="G308" s="4" t="s">
        <v>11</v>
      </c>
      <c r="H308" s="7" t="str">
        <f>HYPERLINK("http://apps.fcc.gov/ecfs/document/view?id=7520940206","  (2 pages)")</f>
        <v>  (2 pages)</v>
      </c>
    </row>
    <row r="309" spans="1:8" ht="12.75">
      <c r="A309" s="4" t="s">
        <v>6</v>
      </c>
      <c r="B309" s="4" t="s">
        <v>156</v>
      </c>
      <c r="C309" s="4" t="s">
        <v>8</v>
      </c>
      <c r="D309" s="4" t="s">
        <v>21</v>
      </c>
      <c r="E309" s="4" t="s">
        <v>9</v>
      </c>
      <c r="F309" s="4" t="s">
        <v>10</v>
      </c>
      <c r="G309" s="4" t="s">
        <v>11</v>
      </c>
      <c r="H309" s="7" t="str">
        <f>HYPERLINK("http://apps.fcc.gov/ecfs/document/view?id=7520944151","  (8 pages)")</f>
        <v>  (8 pages)</v>
      </c>
    </row>
    <row r="310" spans="1:8" ht="12.75">
      <c r="A310" s="4" t="s">
        <v>6</v>
      </c>
      <c r="B310" s="4" t="s">
        <v>365</v>
      </c>
      <c r="C310" s="4" t="s">
        <v>8</v>
      </c>
      <c r="D310" s="4" t="s">
        <v>21</v>
      </c>
      <c r="E310" s="4" t="s">
        <v>21</v>
      </c>
      <c r="F310" s="4" t="s">
        <v>10</v>
      </c>
      <c r="G310" s="4" t="s">
        <v>11</v>
      </c>
      <c r="H310" s="7" t="str">
        <f>HYPERLINK("http://apps.fcc.gov/ecfs/document/view?id=7520943642","  (3 pages)")</f>
        <v>  (3 pages)</v>
      </c>
    </row>
    <row r="311" spans="1:8" ht="12.75">
      <c r="A311" s="4" t="s">
        <v>6</v>
      </c>
      <c r="B311" s="4" t="s">
        <v>576</v>
      </c>
      <c r="C311" s="4" t="s">
        <v>8</v>
      </c>
      <c r="D311" s="4" t="s">
        <v>524</v>
      </c>
      <c r="E311" s="4" t="s">
        <v>524</v>
      </c>
      <c r="F311" s="4" t="s">
        <v>10</v>
      </c>
      <c r="G311" s="4" t="s">
        <v>11</v>
      </c>
      <c r="H311" s="7" t="str">
        <f>HYPERLINK("http://apps.fcc.gov/ecfs/document/view?id=7520943046","  (1 page)")</f>
        <v>  (1 page)</v>
      </c>
    </row>
    <row r="312" spans="1:8" ht="12.75">
      <c r="A312" s="4" t="s">
        <v>6</v>
      </c>
      <c r="B312" s="4" t="s">
        <v>153</v>
      </c>
      <c r="C312" s="4" t="s">
        <v>8</v>
      </c>
      <c r="D312" s="4" t="s">
        <v>9</v>
      </c>
      <c r="E312" s="4" t="s">
        <v>9</v>
      </c>
      <c r="F312" s="4" t="s">
        <v>10</v>
      </c>
      <c r="G312" s="4" t="s">
        <v>11</v>
      </c>
      <c r="H312" s="7" t="str">
        <f>HYPERLINK("http://apps.fcc.gov/ecfs/document/view?id=7520942984","As school district in Texas (1 page)")</f>
        <v>As school district in Texas (1 page)</v>
      </c>
    </row>
    <row r="313" spans="1:8" ht="12.75">
      <c r="A313" s="4" t="s">
        <v>6</v>
      </c>
      <c r="B313" s="4" t="s">
        <v>151</v>
      </c>
      <c r="C313" s="4" t="s">
        <v>8</v>
      </c>
      <c r="D313" s="4" t="s">
        <v>9</v>
      </c>
      <c r="E313" s="4" t="s">
        <v>9</v>
      </c>
      <c r="F313" s="4" t="s">
        <v>10</v>
      </c>
      <c r="G313" s="4" t="s">
        <v>11</v>
      </c>
      <c r="H313" s="7" t="str">
        <f>HYPERLINK("http://apps.fcc.gov/ecfs/document/view?id=7520944254","  (1 page)")</f>
        <v>  (1 page)</v>
      </c>
    </row>
    <row r="314" spans="1:8" ht="12.75">
      <c r="A314" s="4" t="s">
        <v>6</v>
      </c>
      <c r="B314" s="4" t="s">
        <v>711</v>
      </c>
      <c r="C314" s="4" t="s">
        <v>8</v>
      </c>
      <c r="D314" s="4" t="s">
        <v>707</v>
      </c>
      <c r="E314" s="4" t="s">
        <v>707</v>
      </c>
      <c r="F314" s="4" t="s">
        <v>10</v>
      </c>
      <c r="G314" s="4" t="s">
        <v>11</v>
      </c>
      <c r="H314" s="7" t="str">
        <f>HYPERLINK("http://apps.fcc.gov/ecfs/document/view?id=7520941365"," (1 page)")</f>
        <v> (1 page)</v>
      </c>
    </row>
    <row r="315" spans="1:8" ht="12.75">
      <c r="A315" s="4" t="s">
        <v>6</v>
      </c>
      <c r="B315" s="4" t="s">
        <v>575</v>
      </c>
      <c r="D315" s="4" t="s">
        <v>524</v>
      </c>
      <c r="E315" s="4" t="s">
        <v>524</v>
      </c>
      <c r="F315" s="4" t="s">
        <v>10</v>
      </c>
      <c r="G315" s="4" t="s">
        <v>11</v>
      </c>
      <c r="H315" s="7" t="str">
        <f>HYPERLINK("http://apps.fcc.gov/ecfs/document/view?id=7520943079","  (1 page)")</f>
        <v>  (1 page)</v>
      </c>
    </row>
    <row r="316" spans="1:8" ht="12.75">
      <c r="A316" s="4" t="s">
        <v>6</v>
      </c>
      <c r="B316" s="4" t="s">
        <v>1015</v>
      </c>
      <c r="C316" s="4" t="s">
        <v>205</v>
      </c>
      <c r="D316" s="4" t="s">
        <v>9</v>
      </c>
      <c r="E316" s="4" t="s">
        <v>9</v>
      </c>
      <c r="F316" s="4" t="s">
        <v>10</v>
      </c>
      <c r="G316" s="4" t="s">
        <v>11</v>
      </c>
      <c r="H316" s="7" t="str">
        <f>HYPERLINK("http://apps.fcc.gov/ecfs/document/view?id=7520944222","  (2 pages)")</f>
        <v>  (2 pages)</v>
      </c>
    </row>
    <row r="317" spans="1:8" ht="12.75">
      <c r="A317" s="4" t="s">
        <v>6</v>
      </c>
      <c r="B317" s="4" t="s">
        <v>149</v>
      </c>
      <c r="C317" s="4" t="s">
        <v>8</v>
      </c>
      <c r="D317" s="4" t="s">
        <v>9</v>
      </c>
      <c r="E317" s="4" t="s">
        <v>9</v>
      </c>
      <c r="F317" s="4" t="s">
        <v>10</v>
      </c>
      <c r="G317" s="4" t="s">
        <v>11</v>
      </c>
      <c r="H317" s="7" t="str">
        <f>HYPERLINK("http://apps.fcc.gov/ecfs/document/view?id=7520944258","  (1 page)")</f>
        <v>  (1 page)</v>
      </c>
    </row>
    <row r="318" spans="1:8" ht="12.75">
      <c r="A318" s="4" t="s">
        <v>6</v>
      </c>
      <c r="B318" s="4" t="s">
        <v>450</v>
      </c>
      <c r="C318" s="4" t="s">
        <v>8</v>
      </c>
      <c r="D318" s="4" t="s">
        <v>333</v>
      </c>
      <c r="E318" s="4" t="s">
        <v>333</v>
      </c>
      <c r="F318" s="4" t="s">
        <v>10</v>
      </c>
      <c r="G318" s="4" t="s">
        <v>11</v>
      </c>
      <c r="H318" s="7" t="str">
        <f>HYPERLINK("http://apps.fcc.gov/ecfs/document/view?id=7520943298","  (1 page)")</f>
        <v>  (1 page)</v>
      </c>
    </row>
    <row r="319" spans="1:8" ht="12.75">
      <c r="A319" s="4" t="s">
        <v>6</v>
      </c>
      <c r="B319" s="4" t="s">
        <v>14</v>
      </c>
      <c r="C319" s="4" t="s">
        <v>8</v>
      </c>
      <c r="D319" s="4" t="s">
        <v>9</v>
      </c>
      <c r="E319" s="4" t="s">
        <v>9</v>
      </c>
      <c r="F319" s="4" t="s">
        <v>10</v>
      </c>
      <c r="G319" s="4" t="s">
        <v>11</v>
      </c>
      <c r="H319" s="7" t="str">
        <f>HYPERLINK("http://apps.fcc.gov/ecfs/document/view?id=7520944260","  (1 page)")</f>
        <v>  (1 page)</v>
      </c>
    </row>
    <row r="320" spans="1:8" ht="12.75">
      <c r="A320" s="4" t="s">
        <v>6</v>
      </c>
      <c r="B320" s="4" t="s">
        <v>573</v>
      </c>
      <c r="C320" s="4" t="s">
        <v>8</v>
      </c>
      <c r="D320" s="4" t="s">
        <v>524</v>
      </c>
      <c r="E320" s="4" t="s">
        <v>524</v>
      </c>
      <c r="F320" s="4" t="s">
        <v>10</v>
      </c>
      <c r="G320" s="4" t="s">
        <v>11</v>
      </c>
      <c r="H320" s="7" t="str">
        <f>HYPERLINK("http://apps.fcc.gov/ecfs/document/view?id=7520943053","  (1 page)")</f>
        <v>  (1 page)</v>
      </c>
    </row>
    <row r="321" spans="1:12" ht="12.75">
      <c r="A321" t="s">
        <v>6</v>
      </c>
      <c r="B321" s="4" t="s">
        <v>1115</v>
      </c>
      <c r="C321" t="s">
        <v>8</v>
      </c>
      <c r="D321" t="s">
        <v>1109</v>
      </c>
      <c r="E321" t="s">
        <v>1109</v>
      </c>
      <c r="F321" t="s">
        <v>10</v>
      </c>
      <c r="G321" t="s">
        <v>11</v>
      </c>
      <c r="H321" s="1" t="str">
        <f>HYPERLINK("http://apps.fcc.gov/ecfs/document/view?id=7520944713","  (1 page)")</f>
        <v>  (1 page)</v>
      </c>
      <c r="I321"/>
      <c r="J321"/>
      <c r="K321"/>
      <c r="L321"/>
    </row>
    <row r="322" spans="1:8" ht="12.75">
      <c r="A322" s="4" t="s">
        <v>6</v>
      </c>
      <c r="B322" s="4" t="s">
        <v>449</v>
      </c>
      <c r="C322" s="4" t="s">
        <v>8</v>
      </c>
      <c r="D322" s="4" t="s">
        <v>333</v>
      </c>
      <c r="E322" s="4" t="s">
        <v>333</v>
      </c>
      <c r="F322" s="4" t="s">
        <v>10</v>
      </c>
      <c r="G322" s="4" t="s">
        <v>11</v>
      </c>
      <c r="H322" s="7" t="str">
        <f>HYPERLINK("http://apps.fcc.gov/ecfs/document/view?id=7520943426","  (1 page)")</f>
        <v>  (1 page)</v>
      </c>
    </row>
    <row r="323" spans="1:8" ht="12.75">
      <c r="A323" s="4" t="s">
        <v>6</v>
      </c>
      <c r="B323" s="4" t="s">
        <v>572</v>
      </c>
      <c r="C323" s="4" t="s">
        <v>8</v>
      </c>
      <c r="D323" s="4" t="s">
        <v>524</v>
      </c>
      <c r="E323" s="4" t="s">
        <v>524</v>
      </c>
      <c r="F323" s="4" t="s">
        <v>10</v>
      </c>
      <c r="G323" s="4" t="s">
        <v>11</v>
      </c>
      <c r="H323" s="7" t="str">
        <f>HYPERLINK("http://apps.fcc.gov/ecfs/document/view?id=7520943039","  (1 page)")</f>
        <v>  (1 page)</v>
      </c>
    </row>
    <row r="324" spans="1:8" ht="12.75">
      <c r="A324" s="4" t="s">
        <v>6</v>
      </c>
      <c r="B324" s="4" t="s">
        <v>933</v>
      </c>
      <c r="C324" s="4" t="s">
        <v>147</v>
      </c>
      <c r="D324" s="4" t="s">
        <v>21</v>
      </c>
      <c r="E324" s="4" t="s">
        <v>9</v>
      </c>
      <c r="F324" s="4" t="s">
        <v>10</v>
      </c>
      <c r="G324" s="4" t="s">
        <v>11</v>
      </c>
      <c r="H324" s="7" t="str">
        <f>HYPERLINK("http://apps.fcc.gov/ecfs/document/view?id=7520943908","  (2 pages)")</f>
        <v>  (2 pages)</v>
      </c>
    </row>
    <row r="325" spans="1:8" ht="12.75">
      <c r="A325" s="4" t="s">
        <v>6</v>
      </c>
      <c r="B325" s="4" t="s">
        <v>319</v>
      </c>
      <c r="C325" s="4" t="s">
        <v>8</v>
      </c>
      <c r="D325" s="4" t="s">
        <v>21</v>
      </c>
      <c r="E325" s="4" t="s">
        <v>21</v>
      </c>
      <c r="F325" s="4" t="s">
        <v>10</v>
      </c>
      <c r="G325" s="4" t="s">
        <v>11</v>
      </c>
      <c r="H325" s="7" t="str">
        <f>HYPERLINK("http://apps.fcc.gov/ecfs/document/view?id=7520943791","  (4 pages)")</f>
        <v>  (4 pages)</v>
      </c>
    </row>
    <row r="326" spans="1:8" ht="12.75">
      <c r="A326" s="4" t="s">
        <v>6</v>
      </c>
      <c r="B326" s="4" t="s">
        <v>1033</v>
      </c>
      <c r="C326" s="4" t="s">
        <v>239</v>
      </c>
      <c r="D326" s="4" t="s">
        <v>9</v>
      </c>
      <c r="E326" s="4" t="s">
        <v>9</v>
      </c>
      <c r="F326" s="4" t="s">
        <v>10</v>
      </c>
      <c r="G326" s="4" t="s">
        <v>11</v>
      </c>
      <c r="H326" s="7" t="str">
        <f>HYPERLINK("http://apps.fcc.gov/ecfs/document/view?id=7520944241","  (2 pages)")</f>
        <v>  (2 pages)</v>
      </c>
    </row>
    <row r="327" spans="1:12" ht="12.75">
      <c r="A327" t="s">
        <v>6</v>
      </c>
      <c r="B327" s="4" t="s">
        <v>1114</v>
      </c>
      <c r="C327" t="s">
        <v>8</v>
      </c>
      <c r="D327" t="s">
        <v>1109</v>
      </c>
      <c r="E327" t="s">
        <v>1109</v>
      </c>
      <c r="F327" t="s">
        <v>10</v>
      </c>
      <c r="G327" t="s">
        <v>11</v>
      </c>
      <c r="H327" s="1" t="str">
        <f>HYPERLINK("http://apps.fcc.gov/ecfs/document/view?id=7520944701","  (1 page)")</f>
        <v>  (1 page)</v>
      </c>
      <c r="I327"/>
      <c r="J327"/>
      <c r="K327"/>
      <c r="L327"/>
    </row>
    <row r="328" spans="1:8" ht="12.75">
      <c r="A328" s="4" t="s">
        <v>6</v>
      </c>
      <c r="B328" s="4" t="s">
        <v>849</v>
      </c>
      <c r="C328" s="4" t="s">
        <v>64</v>
      </c>
      <c r="D328" s="4" t="s">
        <v>21</v>
      </c>
      <c r="E328" s="4" t="s">
        <v>9</v>
      </c>
      <c r="F328" s="4" t="s">
        <v>10</v>
      </c>
      <c r="G328" s="4" t="s">
        <v>11</v>
      </c>
      <c r="H328" s="7" t="str">
        <f>HYPERLINK("http://apps.fcc.gov/ecfs/document/view?id=7520943963","Comment on Proceeding No 13 184 (2 pages)")</f>
        <v>Comment on Proceeding No 13 184 (2 pages)</v>
      </c>
    </row>
    <row r="329" spans="1:8" ht="12.75">
      <c r="A329" s="4" t="s">
        <v>6</v>
      </c>
      <c r="B329" s="4" t="s">
        <v>281</v>
      </c>
      <c r="C329" s="4" t="s">
        <v>8</v>
      </c>
      <c r="D329" s="4" t="s">
        <v>21</v>
      </c>
      <c r="E329" s="4" t="s">
        <v>21</v>
      </c>
      <c r="F329" s="4" t="s">
        <v>10</v>
      </c>
      <c r="G329" s="4" t="s">
        <v>11</v>
      </c>
      <c r="H329" s="7" t="str">
        <f>HYPERLINK("http://apps.fcc.gov/ecfs/document/view?id=7520943866","  (145 pages)")</f>
        <v>  (145 pages)</v>
      </c>
    </row>
    <row r="330" spans="1:8" ht="12.75">
      <c r="A330" s="4" t="s">
        <v>6</v>
      </c>
      <c r="B330" s="4" t="s">
        <v>448</v>
      </c>
      <c r="C330" s="4" t="s">
        <v>8</v>
      </c>
      <c r="D330" s="4" t="s">
        <v>333</v>
      </c>
      <c r="E330" s="4" t="s">
        <v>333</v>
      </c>
      <c r="F330" s="4" t="s">
        <v>10</v>
      </c>
      <c r="G330" s="4" t="s">
        <v>11</v>
      </c>
      <c r="H330" s="7" t="str">
        <f>HYPERLINK("http://apps.fcc.gov/ecfs/document/view?id=7520943380","  (1 page)")</f>
        <v>  (1 page)</v>
      </c>
    </row>
    <row r="331" spans="1:8" ht="12.75">
      <c r="A331" s="4" t="s">
        <v>6</v>
      </c>
      <c r="B331" s="4" t="s">
        <v>537</v>
      </c>
      <c r="C331" s="4" t="s">
        <v>8</v>
      </c>
      <c r="D331" s="4" t="s">
        <v>524</v>
      </c>
      <c r="E331" s="4" t="s">
        <v>333</v>
      </c>
      <c r="F331" s="4" t="s">
        <v>10</v>
      </c>
      <c r="G331" s="4" t="s">
        <v>11</v>
      </c>
      <c r="H331" s="7" t="str">
        <f>HYPERLINK("http://apps.fcc.gov/ecfs/document/view?id=7520943204"," (1 page)")</f>
        <v> (1 page)</v>
      </c>
    </row>
    <row r="332" spans="1:8" ht="12.75">
      <c r="A332" s="4" t="s">
        <v>6</v>
      </c>
      <c r="B332" s="4" t="s">
        <v>446</v>
      </c>
      <c r="C332" s="4" t="s">
        <v>8</v>
      </c>
      <c r="D332" s="4" t="s">
        <v>333</v>
      </c>
      <c r="E332" s="4" t="s">
        <v>333</v>
      </c>
      <c r="F332" s="4" t="s">
        <v>10</v>
      </c>
      <c r="G332" s="4" t="s">
        <v>11</v>
      </c>
      <c r="H332" s="7" t="str">
        <f>HYPERLINK("http://apps.fcc.gov/ecfs/document/view?id=7520943414","  (1 page)")</f>
        <v>  (1 page)</v>
      </c>
    </row>
    <row r="333" spans="1:8" ht="12.75">
      <c r="A333" s="4" t="s">
        <v>6</v>
      </c>
      <c r="B333" s="4" t="s">
        <v>143</v>
      </c>
      <c r="C333" s="4" t="s">
        <v>8</v>
      </c>
      <c r="D333" s="4" t="s">
        <v>9</v>
      </c>
      <c r="E333" s="4" t="s">
        <v>9</v>
      </c>
      <c r="F333" s="4" t="s">
        <v>10</v>
      </c>
      <c r="G333" s="4" t="s">
        <v>11</v>
      </c>
      <c r="H333" s="7" t="str">
        <f>HYPERLINK("http://apps.fcc.gov/ecfs/document/view?id=7520944219","  (1 page)")</f>
        <v>  (1 page)</v>
      </c>
    </row>
    <row r="334" spans="1:8" ht="12.75">
      <c r="A334" s="4" t="s">
        <v>6</v>
      </c>
      <c r="B334" s="4" t="s">
        <v>445</v>
      </c>
      <c r="C334" s="4" t="s">
        <v>8</v>
      </c>
      <c r="D334" s="4" t="s">
        <v>333</v>
      </c>
      <c r="E334" s="4" t="s">
        <v>333</v>
      </c>
      <c r="F334" s="4" t="s">
        <v>10</v>
      </c>
      <c r="G334" s="4" t="s">
        <v>11</v>
      </c>
      <c r="H334" s="7" t="str">
        <f>HYPERLINK("http://apps.fcc.gov/ecfs/document/view?id=7520943292","  (1 page)")</f>
        <v>  (1 page)</v>
      </c>
    </row>
    <row r="335" spans="1:8" ht="12.75">
      <c r="A335" s="4" t="s">
        <v>6</v>
      </c>
      <c r="B335" s="4" t="s">
        <v>444</v>
      </c>
      <c r="C335" s="4" t="s">
        <v>8</v>
      </c>
      <c r="D335" s="4" t="s">
        <v>333</v>
      </c>
      <c r="E335" s="4" t="s">
        <v>333</v>
      </c>
      <c r="F335" s="4" t="s">
        <v>10</v>
      </c>
      <c r="G335" s="4" t="s">
        <v>11</v>
      </c>
      <c r="H335" s="7" t="str">
        <f>HYPERLINK("http://apps.fcc.gov/ecfs/document/view?id=7520943406","  (1 page)")</f>
        <v>  (1 page)</v>
      </c>
    </row>
    <row r="336" spans="1:8" ht="12.75">
      <c r="A336" s="4" t="s">
        <v>6</v>
      </c>
      <c r="B336" s="4" t="s">
        <v>142</v>
      </c>
      <c r="C336" s="4" t="s">
        <v>8</v>
      </c>
      <c r="D336" s="4" t="s">
        <v>9</v>
      </c>
      <c r="E336" s="4" t="s">
        <v>9</v>
      </c>
      <c r="F336" s="4" t="s">
        <v>10</v>
      </c>
      <c r="G336" s="4" t="s">
        <v>11</v>
      </c>
      <c r="H336" s="7" t="str">
        <f>HYPERLINK("http://apps.fcc.gov/ecfs/document/view?id=7520944223","  (1 page)")</f>
        <v>  (1 page)</v>
      </c>
    </row>
    <row r="337" spans="1:8" ht="12.75">
      <c r="A337" s="4" t="s">
        <v>6</v>
      </c>
      <c r="B337" s="4" t="s">
        <v>443</v>
      </c>
      <c r="C337" s="4" t="s">
        <v>8</v>
      </c>
      <c r="D337" s="4" t="s">
        <v>333</v>
      </c>
      <c r="E337" s="4" t="s">
        <v>333</v>
      </c>
      <c r="F337" s="4" t="s">
        <v>10</v>
      </c>
      <c r="G337" s="4" t="s">
        <v>11</v>
      </c>
      <c r="H337" s="7" t="str">
        <f>HYPERLINK("http://apps.fcc.gov/ecfs/document/view?id=7520943407","  (1 page)")</f>
        <v>  (1 page)</v>
      </c>
    </row>
    <row r="338" spans="1:8" ht="12.75">
      <c r="A338" s="4" t="s">
        <v>6</v>
      </c>
      <c r="B338" s="4" t="s">
        <v>982</v>
      </c>
      <c r="C338" s="4" t="s">
        <v>591</v>
      </c>
      <c r="D338" s="4" t="s">
        <v>524</v>
      </c>
      <c r="E338" s="4" t="s">
        <v>524</v>
      </c>
      <c r="F338" s="4" t="s">
        <v>10</v>
      </c>
      <c r="G338" s="4" t="s">
        <v>11</v>
      </c>
      <c r="H338" s="7" t="str">
        <f>HYPERLINK("http://apps.fcc.gov/ecfs/document/view?id=7520943018","District Comment on E Rate NPRM (1 page)")</f>
        <v>District Comment on E Rate NPRM (1 page)</v>
      </c>
    </row>
    <row r="339" spans="1:8" ht="12.75">
      <c r="A339" s="4" t="s">
        <v>6</v>
      </c>
      <c r="B339" s="4" t="s">
        <v>1042</v>
      </c>
      <c r="C339" s="4" t="s">
        <v>249</v>
      </c>
      <c r="D339" s="4" t="s">
        <v>21</v>
      </c>
      <c r="E339" s="4" t="s">
        <v>9</v>
      </c>
      <c r="F339" s="4" t="s">
        <v>10</v>
      </c>
      <c r="G339" s="4" t="s">
        <v>11</v>
      </c>
      <c r="H339" s="7" t="str">
        <f>HYPERLINK("http://apps.fcc.gov/ecfs/document/view?id=7520943881","  (2 pages)")</f>
        <v>  (2 pages)</v>
      </c>
    </row>
    <row r="340" spans="1:8" ht="12.75">
      <c r="A340" s="4" t="s">
        <v>6</v>
      </c>
      <c r="B340" s="4" t="s">
        <v>141</v>
      </c>
      <c r="C340" s="4" t="s">
        <v>8</v>
      </c>
      <c r="D340" s="4" t="s">
        <v>9</v>
      </c>
      <c r="E340" s="4" t="s">
        <v>9</v>
      </c>
      <c r="F340" s="4" t="s">
        <v>10</v>
      </c>
      <c r="G340" s="4" t="s">
        <v>11</v>
      </c>
      <c r="H340" s="7" t="str">
        <f>HYPERLINK("http://apps.fcc.gov/ecfs/document/view?id=7520944239","  (1 page)")</f>
        <v>  (1 page)</v>
      </c>
    </row>
    <row r="341" spans="1:8" ht="12.75">
      <c r="A341" s="4" t="s">
        <v>6</v>
      </c>
      <c r="B341" s="4" t="s">
        <v>139</v>
      </c>
      <c r="C341" s="4" t="s">
        <v>8</v>
      </c>
      <c r="D341" s="4" t="s">
        <v>9</v>
      </c>
      <c r="E341" s="4" t="s">
        <v>9</v>
      </c>
      <c r="F341" s="4" t="s">
        <v>10</v>
      </c>
      <c r="G341" s="4" t="s">
        <v>11</v>
      </c>
      <c r="H341" s="7" t="str">
        <f>HYPERLINK("http://apps.fcc.gov/ecfs/document/view?id=7520944159","  (15 pages)")</f>
        <v>  (15 pages)</v>
      </c>
    </row>
    <row r="342" spans="1:8" ht="12.75">
      <c r="A342" s="4" t="s">
        <v>6</v>
      </c>
      <c r="B342" s="4" t="s">
        <v>318</v>
      </c>
      <c r="C342" s="4" t="s">
        <v>8</v>
      </c>
      <c r="D342" s="4" t="s">
        <v>21</v>
      </c>
      <c r="E342" s="4" t="s">
        <v>21</v>
      </c>
      <c r="F342" s="4" t="s">
        <v>10</v>
      </c>
      <c r="G342" s="4" t="s">
        <v>11</v>
      </c>
      <c r="H342" s="7" t="str">
        <f>HYPERLINK("http://apps.fcc.gov/ecfs/document/view?id=7520943793"," (1 page)")</f>
        <v> (1 page)</v>
      </c>
    </row>
    <row r="343" spans="1:8" ht="12.75">
      <c r="A343" s="4" t="s">
        <v>6</v>
      </c>
      <c r="B343" s="4" t="s">
        <v>515</v>
      </c>
      <c r="C343" s="4" t="s">
        <v>8</v>
      </c>
      <c r="D343" s="4" t="s">
        <v>333</v>
      </c>
      <c r="E343" s="4" t="s">
        <v>333</v>
      </c>
      <c r="F343" s="4" t="s">
        <v>10</v>
      </c>
      <c r="G343" s="4" t="s">
        <v>11</v>
      </c>
      <c r="H343" s="7" t="str">
        <f>HYPERLINK("http://apps.fcc.gov/ecfs/document/view?id=7520943253","  (1 page)")</f>
        <v>  (1 page)</v>
      </c>
    </row>
    <row r="344" spans="1:8" ht="12.75">
      <c r="A344" s="4" t="s">
        <v>6</v>
      </c>
      <c r="B344" s="4" t="s">
        <v>670</v>
      </c>
      <c r="C344" s="4" t="s">
        <v>8</v>
      </c>
      <c r="D344" s="4" t="s">
        <v>553</v>
      </c>
      <c r="E344" s="4" t="s">
        <v>553</v>
      </c>
      <c r="F344" s="4" t="s">
        <v>10</v>
      </c>
      <c r="G344" s="4" t="s">
        <v>11</v>
      </c>
      <c r="H344" s="7" t="str">
        <f>HYPERLINK("http://apps.fcc.gov/ecfs/document/view?id=7520942696"," (1 page)")</f>
        <v> (1 page)</v>
      </c>
    </row>
    <row r="345" spans="1:8" ht="12.75">
      <c r="A345" s="4" t="s">
        <v>6</v>
      </c>
      <c r="B345" s="4" t="s">
        <v>655</v>
      </c>
      <c r="C345" s="4" t="s">
        <v>8</v>
      </c>
      <c r="D345" s="4" t="s">
        <v>652</v>
      </c>
      <c r="E345" s="4" t="s">
        <v>598</v>
      </c>
      <c r="F345" s="4" t="s">
        <v>10</v>
      </c>
      <c r="G345" s="4" t="s">
        <v>11</v>
      </c>
      <c r="H345" s="7" t="str">
        <f>HYPERLINK("http://apps.fcc.gov/ecfs/document/view?id=7520942839"," (1 page)")</f>
        <v> (1 page)</v>
      </c>
    </row>
    <row r="346" spans="1:8" ht="12.75">
      <c r="A346" s="4" t="s">
        <v>6</v>
      </c>
      <c r="B346" s="4" t="s">
        <v>571</v>
      </c>
      <c r="C346" s="4" t="s">
        <v>8</v>
      </c>
      <c r="D346" s="4" t="s">
        <v>524</v>
      </c>
      <c r="E346" s="4" t="s">
        <v>524</v>
      </c>
      <c r="F346" s="4" t="s">
        <v>10</v>
      </c>
      <c r="G346" s="4" t="s">
        <v>11</v>
      </c>
      <c r="H346" s="7" t="str">
        <f>HYPERLINK("http://apps.fcc.gov/ecfs/document/view?id=7520943067","  (1 page)")</f>
        <v>  (1 page)</v>
      </c>
    </row>
    <row r="347" spans="1:8" ht="12.75">
      <c r="A347" s="4" t="s">
        <v>6</v>
      </c>
      <c r="B347" s="4" t="s">
        <v>279</v>
      </c>
      <c r="C347" s="4" t="s">
        <v>8</v>
      </c>
      <c r="D347" s="4" t="s">
        <v>21</v>
      </c>
      <c r="E347" s="4" t="s">
        <v>21</v>
      </c>
      <c r="F347" s="4" t="s">
        <v>10</v>
      </c>
      <c r="G347" s="4" t="s">
        <v>11</v>
      </c>
      <c r="H347" s="7" t="str">
        <f>HYPERLINK("http://apps.fcc.gov/ecfs/document/view?id=7520943857","  (9 pages)")</f>
        <v>  (9 pages)</v>
      </c>
    </row>
    <row r="348" spans="1:8" ht="12.75">
      <c r="A348" s="4" t="s">
        <v>6</v>
      </c>
      <c r="B348" s="4" t="s">
        <v>138</v>
      </c>
      <c r="C348" s="4" t="s">
        <v>8</v>
      </c>
      <c r="D348" s="4" t="s">
        <v>21</v>
      </c>
      <c r="E348" s="4" t="s">
        <v>9</v>
      </c>
      <c r="F348" s="4" t="s">
        <v>10</v>
      </c>
      <c r="G348" s="4" t="s">
        <v>11</v>
      </c>
      <c r="H348" s="7" t="str">
        <f>HYPERLINK("http://apps.fcc.gov/ecfs/document/view?id=7520944006","  (6 pages)")</f>
        <v>  (6 pages)</v>
      </c>
    </row>
    <row r="349" spans="1:8" ht="12.75">
      <c r="A349" s="4" t="s">
        <v>6</v>
      </c>
      <c r="B349" s="4" t="s">
        <v>980</v>
      </c>
      <c r="C349" s="4" t="s">
        <v>17</v>
      </c>
      <c r="D349" s="4" t="s">
        <v>9</v>
      </c>
      <c r="E349" s="4" t="s">
        <v>9</v>
      </c>
      <c r="F349" s="4" t="s">
        <v>10</v>
      </c>
      <c r="G349" s="4" t="s">
        <v>11</v>
      </c>
      <c r="H349" s="7" t="str">
        <f>HYPERLINK("http://apps.fcc.gov/ecfs/document/view?id=7520944262","  (1 page)")</f>
        <v>  (1 page)</v>
      </c>
    </row>
    <row r="350" spans="1:8" ht="12.75">
      <c r="A350" s="4" t="s">
        <v>6</v>
      </c>
      <c r="B350" s="4" t="s">
        <v>570</v>
      </c>
      <c r="C350" s="4" t="s">
        <v>8</v>
      </c>
      <c r="D350" s="4" t="s">
        <v>524</v>
      </c>
      <c r="E350" s="4" t="s">
        <v>524</v>
      </c>
      <c r="F350" s="4" t="s">
        <v>10</v>
      </c>
      <c r="G350" s="4" t="s">
        <v>11</v>
      </c>
      <c r="H350" s="7" t="str">
        <f>HYPERLINK("http://apps.fcc.gov/ecfs/document/view?id=7520943070"," (1 page)")</f>
        <v> (1 page)</v>
      </c>
    </row>
    <row r="351" spans="1:8" ht="12.75">
      <c r="A351" s="4" t="s">
        <v>6</v>
      </c>
      <c r="B351" s="4" t="s">
        <v>913</v>
      </c>
      <c r="C351" s="4" t="s">
        <v>8</v>
      </c>
      <c r="D351" s="4" t="s">
        <v>21</v>
      </c>
      <c r="E351" s="4" t="s">
        <v>9</v>
      </c>
      <c r="F351" s="4" t="s">
        <v>10</v>
      </c>
      <c r="G351" s="4" t="s">
        <v>11</v>
      </c>
      <c r="H351" s="7" t="str">
        <f>HYPERLINK("http://apps.fcc.gov/ecfs/document/view?id=7520944152","  (5 pages)")</f>
        <v>  (5 pages)</v>
      </c>
    </row>
    <row r="352" spans="1:8" ht="12.75">
      <c r="A352" s="4" t="s">
        <v>6</v>
      </c>
      <c r="B352" s="4" t="s">
        <v>569</v>
      </c>
      <c r="C352" s="4" t="s">
        <v>8</v>
      </c>
      <c r="D352" s="4" t="s">
        <v>524</v>
      </c>
      <c r="E352" s="4" t="s">
        <v>524</v>
      </c>
      <c r="F352" s="4" t="s">
        <v>10</v>
      </c>
      <c r="G352" s="4" t="s">
        <v>11</v>
      </c>
      <c r="H352" s="7" t="str">
        <f>HYPERLINK("http://apps.fcc.gov/ecfs/document/view?id=7520943075"," (1 page)")</f>
        <v> (1 page)</v>
      </c>
    </row>
    <row r="353" spans="1:8" ht="12.75">
      <c r="A353" s="4" t="s">
        <v>6</v>
      </c>
      <c r="B353" s="4" t="s">
        <v>442</v>
      </c>
      <c r="C353" s="4" t="s">
        <v>8</v>
      </c>
      <c r="D353" s="4" t="s">
        <v>333</v>
      </c>
      <c r="E353" s="4" t="s">
        <v>333</v>
      </c>
      <c r="F353" s="4" t="s">
        <v>10</v>
      </c>
      <c r="G353" s="4" t="s">
        <v>11</v>
      </c>
      <c r="H353" s="7" t="str">
        <f>HYPERLINK("http://apps.fcc.gov/ecfs/document/view?id=7520943329","  (1 page)")</f>
        <v>  (1 page)</v>
      </c>
    </row>
    <row r="354" spans="1:8" ht="12.75">
      <c r="A354" s="4" t="s">
        <v>6</v>
      </c>
      <c r="B354" s="4" t="s">
        <v>320</v>
      </c>
      <c r="C354" s="4" t="s">
        <v>8</v>
      </c>
      <c r="D354" s="4" t="s">
        <v>21</v>
      </c>
      <c r="E354" s="4" t="s">
        <v>21</v>
      </c>
      <c r="F354" s="4" t="s">
        <v>10</v>
      </c>
      <c r="G354" s="4" t="s">
        <v>11</v>
      </c>
      <c r="H354" s="7" t="str">
        <f>HYPERLINK("http://apps.fcc.gov/ecfs/document/view?id=7520943779"," (1 page)")</f>
        <v> (1 page)</v>
      </c>
    </row>
    <row r="355" spans="1:8" ht="12.75">
      <c r="A355" s="4" t="s">
        <v>6</v>
      </c>
      <c r="B355" s="4" t="s">
        <v>534</v>
      </c>
      <c r="C355" s="4" t="s">
        <v>8</v>
      </c>
      <c r="D355" s="4" t="s">
        <v>333</v>
      </c>
      <c r="E355" s="4" t="s">
        <v>333</v>
      </c>
      <c r="F355" s="4" t="s">
        <v>10</v>
      </c>
      <c r="G355" s="4" t="s">
        <v>11</v>
      </c>
      <c r="H355" s="7" t="str">
        <f>HYPERLINK("http://apps.fcc.gov/ecfs/document/view?id=7520943243","  (1 page)")</f>
        <v>  (1 page)</v>
      </c>
    </row>
    <row r="356" spans="1:8" ht="12.75">
      <c r="A356" s="4" t="s">
        <v>6</v>
      </c>
      <c r="B356" s="4" t="s">
        <v>984</v>
      </c>
      <c r="C356" s="4" t="s">
        <v>547</v>
      </c>
      <c r="D356" s="4" t="s">
        <v>524</v>
      </c>
      <c r="E356" s="4" t="s">
        <v>333</v>
      </c>
      <c r="F356" s="4" t="s">
        <v>10</v>
      </c>
      <c r="G356" s="4" t="s">
        <v>11</v>
      </c>
      <c r="H356" s="7" t="str">
        <f>HYPERLINK("http://apps.fcc.gov/ecfs/document/view?id=7520943183","  (2 pages)")</f>
        <v>  (2 pages)</v>
      </c>
    </row>
    <row r="357" spans="1:8" ht="12.75">
      <c r="A357" s="4" t="s">
        <v>6</v>
      </c>
      <c r="B357" s="4" t="s">
        <v>135</v>
      </c>
      <c r="C357" s="4" t="s">
        <v>8</v>
      </c>
      <c r="D357" s="4" t="s">
        <v>21</v>
      </c>
      <c r="E357" s="4" t="s">
        <v>9</v>
      </c>
      <c r="F357" s="4" t="s">
        <v>10</v>
      </c>
      <c r="G357" s="4" t="s">
        <v>11</v>
      </c>
      <c r="H357" s="7" t="str">
        <f>HYPERLINK("http://apps.fcc.gov/ecfs/document/view?id=7520943928","  (27 pages)")</f>
        <v>  (27 pages)</v>
      </c>
    </row>
    <row r="358" spans="1:8" ht="12.75">
      <c r="A358" s="4" t="s">
        <v>6</v>
      </c>
      <c r="B358" s="4" t="s">
        <v>758</v>
      </c>
      <c r="C358" s="4" t="s">
        <v>8</v>
      </c>
      <c r="D358" s="4" t="s">
        <v>759</v>
      </c>
      <c r="E358" s="4" t="s">
        <v>759</v>
      </c>
      <c r="F358" s="4" t="s">
        <v>10</v>
      </c>
      <c r="G358" s="4" t="s">
        <v>11</v>
      </c>
      <c r="H358" s="7" t="str">
        <f>HYPERLINK("http://apps.fcc.gov/ecfs/document/view?id=7520939607"," (1 page)")</f>
        <v> (1 page)</v>
      </c>
    </row>
    <row r="359" spans="1:8" ht="12.75">
      <c r="A359" s="4" t="s">
        <v>6</v>
      </c>
      <c r="B359" s="4" t="s">
        <v>1044</v>
      </c>
      <c r="C359" s="4" t="s">
        <v>648</v>
      </c>
      <c r="D359" s="4" t="s">
        <v>598</v>
      </c>
      <c r="E359" s="4" t="s">
        <v>598</v>
      </c>
      <c r="F359" s="4" t="s">
        <v>10</v>
      </c>
      <c r="G359" s="4" t="s">
        <v>11</v>
      </c>
      <c r="H359" s="7" t="str">
        <f>HYPERLINK("http://apps.fcc.gov/ecfs/document/view?id=7520942880","  (1 page)")</f>
        <v>  (1 page)</v>
      </c>
    </row>
    <row r="360" spans="1:8" ht="12.75">
      <c r="A360" s="4" t="s">
        <v>6</v>
      </c>
      <c r="B360" s="4" t="s">
        <v>909</v>
      </c>
      <c r="C360" s="4" t="s">
        <v>441</v>
      </c>
      <c r="D360" s="4" t="s">
        <v>333</v>
      </c>
      <c r="E360" s="4" t="s">
        <v>333</v>
      </c>
      <c r="F360" s="4" t="s">
        <v>10</v>
      </c>
      <c r="G360" s="4" t="s">
        <v>11</v>
      </c>
      <c r="H360" s="7" t="str">
        <f>HYPERLINK("http://apps.fcc.gov/ecfs/document/view?id=7520943284","  (1 page)")</f>
        <v>  (1 page)</v>
      </c>
    </row>
    <row r="361" spans="1:8" ht="12.75">
      <c r="A361" s="4" t="s">
        <v>6</v>
      </c>
      <c r="B361" s="4" t="s">
        <v>130</v>
      </c>
      <c r="C361" s="4" t="s">
        <v>8</v>
      </c>
      <c r="D361" s="4" t="s">
        <v>21</v>
      </c>
      <c r="E361" s="4" t="s">
        <v>9</v>
      </c>
      <c r="F361" s="4" t="s">
        <v>10</v>
      </c>
      <c r="G361" s="4" t="s">
        <v>11</v>
      </c>
      <c r="H361" s="7" t="str">
        <f>HYPERLINK("http://apps.fcc.gov/ecfs/document/view?id=7520943965","  (6 pages)")</f>
        <v>  (6 pages)</v>
      </c>
    </row>
    <row r="362" spans="1:8" ht="12.75">
      <c r="A362" s="4" t="s">
        <v>6</v>
      </c>
      <c r="B362" s="4" t="s">
        <v>440</v>
      </c>
      <c r="C362" s="4" t="s">
        <v>8</v>
      </c>
      <c r="D362" s="4" t="s">
        <v>333</v>
      </c>
      <c r="E362" s="4" t="s">
        <v>333</v>
      </c>
      <c r="F362" s="4" t="s">
        <v>10</v>
      </c>
      <c r="G362" s="4" t="s">
        <v>11</v>
      </c>
      <c r="H362" s="7" t="str">
        <f>HYPERLINK("http://apps.fcc.gov/ecfs/document/view?id=7520943286","  (1 page)")</f>
        <v>  (1 page)</v>
      </c>
    </row>
    <row r="363" spans="1:8" ht="12.75">
      <c r="A363" s="4" t="s">
        <v>6</v>
      </c>
      <c r="B363" s="4" t="s">
        <v>514</v>
      </c>
      <c r="C363" s="4" t="s">
        <v>8</v>
      </c>
      <c r="D363" s="4" t="s">
        <v>333</v>
      </c>
      <c r="E363" s="4" t="s">
        <v>333</v>
      </c>
      <c r="F363" s="4" t="s">
        <v>10</v>
      </c>
      <c r="G363" s="4" t="s">
        <v>11</v>
      </c>
      <c r="H363" s="7" t="str">
        <f>HYPERLINK("http://apps.fcc.gov/ecfs/document/view?id=7520943258","  (1 page)")</f>
        <v>  (1 page)</v>
      </c>
    </row>
    <row r="364" spans="1:9" ht="12.75">
      <c r="A364" s="4" t="s">
        <v>6</v>
      </c>
      <c r="B364" s="4" t="s">
        <v>816</v>
      </c>
      <c r="C364" s="4" t="s">
        <v>368</v>
      </c>
      <c r="D364" s="4" t="s">
        <v>333</v>
      </c>
      <c r="E364" s="4" t="s">
        <v>21</v>
      </c>
      <c r="F364" s="4" t="s">
        <v>10</v>
      </c>
      <c r="G364" s="4" t="s">
        <v>11</v>
      </c>
      <c r="H364" s="7" t="str">
        <f>HYPERLINK("http://apps.fcc.gov/ecfs/document/view?id=7520943467","  (1 page)")</f>
        <v>  (1 page)</v>
      </c>
      <c r="I364" s="7" t="str">
        <f>HYPERLINK("http://apps.fcc.gov/ecfs/document/view?id=7520943660","  (1 page)")</f>
        <v>  (1 page)</v>
      </c>
    </row>
    <row r="365" spans="1:8" ht="12.75">
      <c r="A365" s="4" t="s">
        <v>6</v>
      </c>
      <c r="B365" s="4" t="s">
        <v>908</v>
      </c>
      <c r="C365" s="4" t="s">
        <v>361</v>
      </c>
      <c r="D365" s="4" t="s">
        <v>333</v>
      </c>
      <c r="E365" s="4" t="s">
        <v>21</v>
      </c>
      <c r="F365" s="4" t="s">
        <v>10</v>
      </c>
      <c r="G365" s="4" t="s">
        <v>11</v>
      </c>
      <c r="H365" s="7" t="str">
        <f>HYPERLINK("http://apps.fcc.gov/ecfs/document/view?id=7520943468","  (1 page)")</f>
        <v>  (1 page)</v>
      </c>
    </row>
    <row r="366" spans="1:10" ht="12.75">
      <c r="A366" s="4" t="s">
        <v>6</v>
      </c>
      <c r="B366" s="4" t="s">
        <v>133</v>
      </c>
      <c r="C366" s="4" t="s">
        <v>8</v>
      </c>
      <c r="D366" s="4" t="s">
        <v>9</v>
      </c>
      <c r="E366" s="4" t="s">
        <v>9</v>
      </c>
      <c r="F366" s="4" t="s">
        <v>10</v>
      </c>
      <c r="G366" s="4" t="s">
        <v>11</v>
      </c>
      <c r="H366" s="7" t="str">
        <f>HYPERLINK("http://apps.fcc.gov/ecfs/document/view?id=7520944365","UPDATED LEAD Comment (10 pages)")</f>
        <v>UPDATED LEAD Comment (10 pages)</v>
      </c>
      <c r="I366" s="7" t="str">
        <f>HYPERLINK("http://apps.fcc.gov/ecfs/document/view?id=7520944355","UPDATED LEAD Report (16 pages)")</f>
        <v>UPDATED LEAD Report (16 pages)</v>
      </c>
      <c r="J366" s="7"/>
    </row>
    <row r="367" spans="1:8" ht="12.75">
      <c r="A367" s="4" t="s">
        <v>6</v>
      </c>
      <c r="B367" s="4" t="s">
        <v>789</v>
      </c>
      <c r="C367" s="4" t="s">
        <v>8</v>
      </c>
      <c r="D367" s="4" t="s">
        <v>21</v>
      </c>
      <c r="E367" s="4" t="s">
        <v>9</v>
      </c>
      <c r="F367" s="4" t="s">
        <v>10</v>
      </c>
      <c r="G367" s="4" t="s">
        <v>11</v>
      </c>
      <c r="H367" s="7" t="str">
        <f>HYPERLINK("http://apps.fcc.gov/ecfs/document/view?id=7520943998","  (4 pages)")</f>
        <v>  (4 pages)</v>
      </c>
    </row>
    <row r="368" spans="1:8" ht="12.75">
      <c r="A368" s="4" t="s">
        <v>6</v>
      </c>
      <c r="B368" s="4" t="s">
        <v>987</v>
      </c>
      <c r="C368" s="4" t="s">
        <v>622</v>
      </c>
      <c r="D368" s="4" t="s">
        <v>598</v>
      </c>
      <c r="E368" s="4" t="s">
        <v>524</v>
      </c>
      <c r="F368" s="4" t="s">
        <v>10</v>
      </c>
      <c r="G368" s="4" t="s">
        <v>11</v>
      </c>
      <c r="H368" s="7" t="str">
        <f>HYPERLINK("http://apps.fcc.gov/ecfs/document/view?id=7520942998","  (1 page)")</f>
        <v>  (1 page)</v>
      </c>
    </row>
    <row r="369" spans="1:8" ht="12.75">
      <c r="A369" s="4" t="s">
        <v>6</v>
      </c>
      <c r="B369" s="4" t="s">
        <v>873</v>
      </c>
      <c r="C369" s="4" t="s">
        <v>92</v>
      </c>
      <c r="D369" s="4" t="s">
        <v>21</v>
      </c>
      <c r="E369" s="4" t="s">
        <v>9</v>
      </c>
      <c r="F369" s="4" t="s">
        <v>10</v>
      </c>
      <c r="G369" s="4" t="s">
        <v>11</v>
      </c>
      <c r="H369" s="7" t="str">
        <f>HYPERLINK("http://apps.fcc.gov/ecfs/document/view?id=7520943984","  (4 pages)")</f>
        <v>  (4 pages)</v>
      </c>
    </row>
    <row r="370" spans="1:8" ht="12.75">
      <c r="A370" s="4" t="s">
        <v>6</v>
      </c>
      <c r="B370" s="4" t="s">
        <v>1045</v>
      </c>
      <c r="C370" s="4" t="s">
        <v>251</v>
      </c>
      <c r="D370" s="4" t="s">
        <v>21</v>
      </c>
      <c r="E370" s="4" t="s">
        <v>9</v>
      </c>
      <c r="F370" s="4" t="s">
        <v>10</v>
      </c>
      <c r="G370" s="4" t="s">
        <v>11</v>
      </c>
      <c r="H370" s="7" t="str">
        <f>HYPERLINK("http://apps.fcc.gov/ecfs/document/view?id=7520944113","  (1 page)")</f>
        <v>  (1 page)</v>
      </c>
    </row>
    <row r="371" spans="1:8" ht="12.75">
      <c r="A371" s="4" t="s">
        <v>6</v>
      </c>
      <c r="B371" s="4" t="s">
        <v>1052</v>
      </c>
      <c r="C371" s="4" t="s">
        <v>161</v>
      </c>
      <c r="D371" s="4" t="s">
        <v>21</v>
      </c>
      <c r="E371" s="4" t="s">
        <v>9</v>
      </c>
      <c r="F371" s="4" t="s">
        <v>10</v>
      </c>
      <c r="G371" s="4" t="s">
        <v>11</v>
      </c>
      <c r="H371" s="7" t="str">
        <f>HYPERLINK("http://apps.fcc.gov/ecfs/document/view?id=7520944112","  (2 pages)")</f>
        <v>  (2 pages)</v>
      </c>
    </row>
    <row r="372" spans="1:8" ht="12.75">
      <c r="A372" s="4" t="s">
        <v>6</v>
      </c>
      <c r="B372" s="4" t="s">
        <v>1053</v>
      </c>
      <c r="C372" s="4" t="s">
        <v>221</v>
      </c>
      <c r="D372" s="4" t="s">
        <v>21</v>
      </c>
      <c r="E372" s="4" t="s">
        <v>9</v>
      </c>
      <c r="F372" s="4" t="s">
        <v>10</v>
      </c>
      <c r="G372" s="4" t="s">
        <v>11</v>
      </c>
      <c r="H372" s="7" t="str">
        <f>HYPERLINK("http://apps.fcc.gov/ecfs/document/view?id=7520944076","  (2 pages)")</f>
        <v>  (2 pages)</v>
      </c>
    </row>
    <row r="373" spans="1:8" ht="12.75">
      <c r="A373" s="4" t="s">
        <v>6</v>
      </c>
      <c r="B373" s="4" t="s">
        <v>830</v>
      </c>
      <c r="C373" s="4" t="s">
        <v>718</v>
      </c>
      <c r="D373" s="4" t="s">
        <v>717</v>
      </c>
      <c r="E373" s="4" t="s">
        <v>707</v>
      </c>
      <c r="F373" s="4" t="s">
        <v>10</v>
      </c>
      <c r="G373" s="4" t="s">
        <v>11</v>
      </c>
      <c r="H373" s="7" t="str">
        <f>HYPERLINK("http://apps.fcc.gov/ecfs/document/view?id=7520940509","E Rate letter (1 page)")</f>
        <v>E Rate letter (1 page)</v>
      </c>
    </row>
    <row r="374" spans="1:8" ht="12.75">
      <c r="A374" s="4" t="s">
        <v>6</v>
      </c>
      <c r="B374" s="4" t="s">
        <v>871</v>
      </c>
      <c r="C374" s="4" t="s">
        <v>13</v>
      </c>
      <c r="D374" s="4" t="s">
        <v>9</v>
      </c>
      <c r="E374" s="4" t="s">
        <v>9</v>
      </c>
      <c r="F374" s="4" t="s">
        <v>10</v>
      </c>
      <c r="G374" s="4" t="s">
        <v>11</v>
      </c>
      <c r="H374" s="7" t="str">
        <f>HYPERLINK("http://apps.fcc.gov/ecfs/document/view?id=7520944263","  (1 page)")</f>
        <v>  (1 page)</v>
      </c>
    </row>
    <row r="375" spans="1:8" ht="12.75">
      <c r="A375" s="4" t="s">
        <v>6</v>
      </c>
      <c r="B375" s="4" t="s">
        <v>439</v>
      </c>
      <c r="C375" s="4" t="s">
        <v>8</v>
      </c>
      <c r="D375" s="4" t="s">
        <v>333</v>
      </c>
      <c r="E375" s="4" t="s">
        <v>333</v>
      </c>
      <c r="F375" s="4" t="s">
        <v>10</v>
      </c>
      <c r="G375" s="4" t="s">
        <v>11</v>
      </c>
      <c r="H375" s="7" t="str">
        <f>HYPERLINK("http://apps.fcc.gov/ecfs/document/view?id=7520943395","  (1 page)")</f>
        <v>  (1 page)</v>
      </c>
    </row>
    <row r="376" spans="1:8" ht="12.75">
      <c r="A376" s="4" t="s">
        <v>6</v>
      </c>
      <c r="B376" s="4" t="s">
        <v>1096</v>
      </c>
      <c r="C376" s="4" t="s">
        <v>1084</v>
      </c>
      <c r="D376" s="4" t="s">
        <v>9</v>
      </c>
      <c r="E376" s="4" t="s">
        <v>1070</v>
      </c>
      <c r="F376" s="4" t="s">
        <v>10</v>
      </c>
      <c r="G376" s="4" t="s">
        <v>11</v>
      </c>
      <c r="H376" s="7" t="str">
        <f>HYPERLINK("http://apps.fcc.gov/ecfs/document/view?id=7520944329","  (2 pages)")</f>
        <v>  (2 pages)</v>
      </c>
    </row>
    <row r="377" spans="1:8" ht="12.75">
      <c r="A377" s="4" t="s">
        <v>6</v>
      </c>
      <c r="B377" s="4" t="s">
        <v>12</v>
      </c>
      <c r="C377" s="4" t="s">
        <v>8</v>
      </c>
      <c r="D377" s="4" t="s">
        <v>9</v>
      </c>
      <c r="E377" s="4" t="s">
        <v>9</v>
      </c>
      <c r="F377" s="4" t="s">
        <v>10</v>
      </c>
      <c r="G377" s="4" t="s">
        <v>11</v>
      </c>
      <c r="H377" s="7" t="str">
        <f>HYPERLINK("http://apps.fcc.gov/ecfs/document/view?id=7520944267","  (1 page)")</f>
        <v>  (1 page)</v>
      </c>
    </row>
    <row r="378" spans="1:8" ht="12.75">
      <c r="A378" s="4" t="s">
        <v>6</v>
      </c>
      <c r="B378" s="4" t="s">
        <v>533</v>
      </c>
      <c r="C378" s="4" t="s">
        <v>8</v>
      </c>
      <c r="D378" s="4" t="s">
        <v>333</v>
      </c>
      <c r="E378" s="4" t="s">
        <v>333</v>
      </c>
      <c r="F378" s="4" t="s">
        <v>10</v>
      </c>
      <c r="G378" s="4" t="s">
        <v>11</v>
      </c>
      <c r="H378" s="7" t="str">
        <f>HYPERLINK("http://apps.fcc.gov/ecfs/document/view?id=7520943248","  (1 page)")</f>
        <v>  (1 page)</v>
      </c>
    </row>
    <row r="379" spans="1:9" ht="12.75">
      <c r="A379" s="4" t="s">
        <v>6</v>
      </c>
      <c r="B379" s="4" t="s">
        <v>513</v>
      </c>
      <c r="C379" s="4" t="s">
        <v>8</v>
      </c>
      <c r="D379" s="4" t="s">
        <v>524</v>
      </c>
      <c r="E379" s="4" t="s">
        <v>333</v>
      </c>
      <c r="F379" s="4" t="s">
        <v>10</v>
      </c>
      <c r="G379" s="4" t="s">
        <v>11</v>
      </c>
      <c r="H379" s="7" t="str">
        <f>HYPERLINK("http://apps.fcc.gov/ecfs/document/view?id=7520943146","  (1 page)")</f>
        <v>  (1 page)</v>
      </c>
      <c r="I379" s="7"/>
    </row>
    <row r="380" spans="1:12" ht="12.75">
      <c r="A380" t="s">
        <v>6</v>
      </c>
      <c r="B380" s="4" t="s">
        <v>1152</v>
      </c>
      <c r="C380" t="s">
        <v>1133</v>
      </c>
      <c r="D380" t="s">
        <v>1070</v>
      </c>
      <c r="E380" t="s">
        <v>1109</v>
      </c>
      <c r="F380" t="s">
        <v>10</v>
      </c>
      <c r="G380" t="s">
        <v>11</v>
      </c>
      <c r="H380" s="1" t="str">
        <f>HYPERLINK("http://apps.fcc.gov/ecfs/document/view?id=7520944444","  (1 page)")</f>
        <v>  (1 page)</v>
      </c>
      <c r="I380"/>
      <c r="J380"/>
      <c r="K380"/>
      <c r="L380"/>
    </row>
    <row r="381" spans="1:8" ht="12.75">
      <c r="A381" s="4" t="s">
        <v>6</v>
      </c>
      <c r="B381" s="4" t="s">
        <v>436</v>
      </c>
      <c r="C381" s="4" t="s">
        <v>8</v>
      </c>
      <c r="D381" s="4" t="s">
        <v>333</v>
      </c>
      <c r="E381" s="4" t="s">
        <v>333</v>
      </c>
      <c r="F381" s="4" t="s">
        <v>10</v>
      </c>
      <c r="G381" s="4" t="s">
        <v>11</v>
      </c>
      <c r="H381" s="7" t="str">
        <f>HYPERLINK("http://apps.fcc.gov/ecfs/document/view?id=7520943320","  (1 page)")</f>
        <v>  (1 page)</v>
      </c>
    </row>
    <row r="382" spans="1:8" ht="12.75">
      <c r="A382" s="4" t="s">
        <v>6</v>
      </c>
      <c r="B382" s="4" t="s">
        <v>821</v>
      </c>
      <c r="C382" s="4" t="s">
        <v>771</v>
      </c>
      <c r="D382" s="4" t="s">
        <v>770</v>
      </c>
      <c r="E382" s="4" t="s">
        <v>768</v>
      </c>
      <c r="F382" s="4" t="s">
        <v>10</v>
      </c>
      <c r="G382" s="4" t="s">
        <v>11</v>
      </c>
      <c r="H382" s="7" t="str">
        <f>HYPERLINK("http://apps.fcc.gov/ecfs/document/view?id=7520938107"," (1 page)")</f>
        <v> (1 page)</v>
      </c>
    </row>
    <row r="383" spans="1:8" ht="12.75">
      <c r="A383" s="4" t="s">
        <v>6</v>
      </c>
      <c r="B383" s="4" t="s">
        <v>1004</v>
      </c>
      <c r="C383" s="4" t="s">
        <v>481</v>
      </c>
      <c r="D383" s="4" t="s">
        <v>333</v>
      </c>
      <c r="E383" s="4" t="s">
        <v>333</v>
      </c>
      <c r="F383" s="4" t="s">
        <v>10</v>
      </c>
      <c r="G383" s="4" t="s">
        <v>11</v>
      </c>
      <c r="H383" s="7" t="str">
        <f>HYPERLINK("http://apps.fcc.gov/ecfs/document/view?id=7520943310","  (1 page)")</f>
        <v>  (1 page)</v>
      </c>
    </row>
    <row r="384" spans="1:8" ht="12.75">
      <c r="A384" s="4" t="s">
        <v>6</v>
      </c>
      <c r="B384" s="4" t="s">
        <v>736</v>
      </c>
      <c r="C384" s="4" t="s">
        <v>8</v>
      </c>
      <c r="D384" s="4" t="s">
        <v>728</v>
      </c>
      <c r="E384" s="4" t="s">
        <v>728</v>
      </c>
      <c r="F384" s="4" t="s">
        <v>10</v>
      </c>
      <c r="G384" s="4" t="s">
        <v>11</v>
      </c>
      <c r="H384" s="7" t="str">
        <f>HYPERLINK("http://apps.fcc.gov/ecfs/document/view?id=7520940297","  (2 pages)")</f>
        <v>  (2 pages)</v>
      </c>
    </row>
    <row r="385" spans="1:8" ht="12.75">
      <c r="A385" s="4" t="s">
        <v>6</v>
      </c>
      <c r="B385" s="4" t="s">
        <v>435</v>
      </c>
      <c r="C385" s="4" t="s">
        <v>8</v>
      </c>
      <c r="D385" s="4" t="s">
        <v>333</v>
      </c>
      <c r="E385" s="4" t="s">
        <v>333</v>
      </c>
      <c r="F385" s="4" t="s">
        <v>10</v>
      </c>
      <c r="G385" s="4" t="s">
        <v>11</v>
      </c>
      <c r="H385" s="7" t="str">
        <f>HYPERLINK("http://apps.fcc.gov/ecfs/document/view?id=7520943305","  (1 page)")</f>
        <v>  (1 page)</v>
      </c>
    </row>
    <row r="386" spans="1:12" ht="12.75">
      <c r="A386" t="s">
        <v>6</v>
      </c>
      <c r="B386" s="4" t="s">
        <v>1132</v>
      </c>
      <c r="C386" t="s">
        <v>8</v>
      </c>
      <c r="D386" t="s">
        <v>1070</v>
      </c>
      <c r="E386" t="s">
        <v>1109</v>
      </c>
      <c r="F386" t="s">
        <v>10</v>
      </c>
      <c r="G386" t="s">
        <v>11</v>
      </c>
      <c r="H386" s="1" t="str">
        <f>HYPERLINK("http://apps.fcc.gov/ecfs/document/view?id=7520944459","  (1 page)")</f>
        <v>  (1 page)</v>
      </c>
      <c r="I386"/>
      <c r="J386"/>
      <c r="K386"/>
      <c r="L386"/>
    </row>
    <row r="387" spans="1:8" ht="12.75">
      <c r="A387" s="4" t="s">
        <v>6</v>
      </c>
      <c r="B387" s="4" t="s">
        <v>434</v>
      </c>
      <c r="C387" s="4" t="s">
        <v>8</v>
      </c>
      <c r="D387" s="4" t="s">
        <v>333</v>
      </c>
      <c r="E387" s="4" t="s">
        <v>333</v>
      </c>
      <c r="F387" s="4" t="s">
        <v>10</v>
      </c>
      <c r="G387" s="4" t="s">
        <v>11</v>
      </c>
      <c r="H387" s="7" t="str">
        <f>HYPERLINK("http://apps.fcc.gov/ecfs/document/view?id=7520943375","LAUSD NPRM 13 184 Comments (15 pages)")</f>
        <v>LAUSD NPRM 13 184 Comments (15 pages)</v>
      </c>
    </row>
    <row r="388" spans="1:8" ht="12.75">
      <c r="A388" s="4" t="s">
        <v>6</v>
      </c>
      <c r="B388" s="4" t="s">
        <v>779</v>
      </c>
      <c r="C388" s="4" t="s">
        <v>8</v>
      </c>
      <c r="D388" s="4" t="s">
        <v>770</v>
      </c>
      <c r="E388" s="4" t="s">
        <v>768</v>
      </c>
      <c r="F388" s="4" t="s">
        <v>10</v>
      </c>
      <c r="G388" s="4" t="s">
        <v>11</v>
      </c>
      <c r="H388" s="7" t="str">
        <f>HYPERLINK("http://apps.fcc.gov/ecfs/document/view?id=7520938382","  (3 pages)")</f>
        <v>  (3 pages)</v>
      </c>
    </row>
    <row r="389" spans="1:8" ht="12.75">
      <c r="A389" s="4" t="s">
        <v>6</v>
      </c>
      <c r="B389" s="4" t="s">
        <v>1011</v>
      </c>
      <c r="C389" s="4" t="s">
        <v>376</v>
      </c>
      <c r="D389" s="4" t="s">
        <v>333</v>
      </c>
      <c r="E389" s="4" t="s">
        <v>21</v>
      </c>
      <c r="F389" s="4" t="s">
        <v>10</v>
      </c>
      <c r="G389" s="4" t="s">
        <v>11</v>
      </c>
      <c r="H389" s="7" t="str">
        <f>HYPERLINK("http://apps.fcc.gov/ecfs/document/view?id=7520943466"," (2 pages)")</f>
        <v> (2 pages)</v>
      </c>
    </row>
    <row r="390" spans="1:8" ht="12.75">
      <c r="A390" s="4" t="s">
        <v>6</v>
      </c>
      <c r="B390" s="4" t="s">
        <v>131</v>
      </c>
      <c r="C390" s="4" t="s">
        <v>132</v>
      </c>
      <c r="D390" s="4" t="s">
        <v>21</v>
      </c>
      <c r="E390" s="4" t="s">
        <v>9</v>
      </c>
      <c r="F390" s="4" t="s">
        <v>10</v>
      </c>
      <c r="G390" s="4" t="s">
        <v>11</v>
      </c>
      <c r="H390" s="7" t="str">
        <f>HYPERLINK("http://apps.fcc.gov/ecfs/document/view?id=7520944015","Comments to Notice of Proposed Rulemaking (24 pages)")</f>
        <v>Comments to Notice of Proposed Rulemaking (24 pages)</v>
      </c>
    </row>
    <row r="391" spans="1:8" ht="12.75">
      <c r="A391" s="4" t="s">
        <v>6</v>
      </c>
      <c r="B391" s="4" t="s">
        <v>128</v>
      </c>
      <c r="C391" s="4" t="s">
        <v>8</v>
      </c>
      <c r="D391" s="4" t="s">
        <v>9</v>
      </c>
      <c r="E391" s="4" t="s">
        <v>9</v>
      </c>
      <c r="F391" s="4" t="s">
        <v>10</v>
      </c>
      <c r="G391" s="4" t="s">
        <v>11</v>
      </c>
      <c r="H391" s="7" t="str">
        <f>HYPERLINK("http://apps.fcc.gov/ecfs/document/view?id=7520944217","  (1 page)")</f>
        <v>  (1 page)</v>
      </c>
    </row>
    <row r="392" spans="1:8" ht="12.75">
      <c r="A392" s="4" t="s">
        <v>6</v>
      </c>
      <c r="B392" s="4" t="s">
        <v>432</v>
      </c>
      <c r="C392" s="4" t="s">
        <v>8</v>
      </c>
      <c r="D392" s="4" t="s">
        <v>333</v>
      </c>
      <c r="E392" s="4" t="s">
        <v>333</v>
      </c>
      <c r="F392" s="4" t="s">
        <v>10</v>
      </c>
      <c r="G392" s="4" t="s">
        <v>11</v>
      </c>
      <c r="H392" s="7" t="str">
        <f>HYPERLINK("http://apps.fcc.gov/ecfs/document/view?id=7520943287","  (1 page)")</f>
        <v>  (1 page)</v>
      </c>
    </row>
    <row r="393" spans="1:8" ht="12.75">
      <c r="A393" s="4" t="s">
        <v>6</v>
      </c>
      <c r="B393" s="4" t="s">
        <v>1054</v>
      </c>
      <c r="C393" s="4" t="s">
        <v>714</v>
      </c>
      <c r="D393" s="4" t="s">
        <v>707</v>
      </c>
      <c r="E393" s="4" t="s">
        <v>707</v>
      </c>
      <c r="F393" s="4" t="s">
        <v>10</v>
      </c>
      <c r="G393" s="4" t="s">
        <v>11</v>
      </c>
      <c r="H393" s="7" t="str">
        <f>HYPERLINK("http://apps.fcc.gov/ecfs/document/view?id=7520941333","  (2 pages)")</f>
        <v>  (2 pages)</v>
      </c>
    </row>
    <row r="394" spans="1:8" ht="12.75">
      <c r="A394" s="4" t="s">
        <v>6</v>
      </c>
      <c r="B394" s="4" t="s">
        <v>1055</v>
      </c>
      <c r="C394" s="4" t="s">
        <v>483</v>
      </c>
      <c r="D394" s="4" t="s">
        <v>333</v>
      </c>
      <c r="E394" s="4" t="s">
        <v>333</v>
      </c>
      <c r="F394" s="4" t="s">
        <v>10</v>
      </c>
      <c r="G394" s="4" t="s">
        <v>11</v>
      </c>
      <c r="H394" s="7" t="str">
        <f>HYPERLINK("http://apps.fcc.gov/ecfs/document/view?id=7520943440","  (1 page)")</f>
        <v>  (1 page)</v>
      </c>
    </row>
    <row r="395" spans="1:8" ht="12.75">
      <c r="A395" s="4" t="s">
        <v>6</v>
      </c>
      <c r="B395" s="4" t="s">
        <v>920</v>
      </c>
      <c r="C395" s="4" t="s">
        <v>612</v>
      </c>
      <c r="D395" s="4" t="s">
        <v>598</v>
      </c>
      <c r="E395" s="4" t="s">
        <v>524</v>
      </c>
      <c r="F395" s="4" t="s">
        <v>10</v>
      </c>
      <c r="G395" s="4" t="s">
        <v>11</v>
      </c>
      <c r="H395" s="7" t="str">
        <f>HYPERLINK("http://apps.fcc.gov/ecfs/document/view?id=7520942949","Madison City Schools Comment on E Rate NPRM (1 page)")</f>
        <v>Madison City Schools Comment on E Rate NPRM (1 page)</v>
      </c>
    </row>
    <row r="396" spans="1:8" ht="12.75">
      <c r="A396" s="4" t="s">
        <v>6</v>
      </c>
      <c r="B396" s="4" t="s">
        <v>825</v>
      </c>
      <c r="C396" s="4" t="s">
        <v>339</v>
      </c>
      <c r="D396" s="4" t="s">
        <v>21</v>
      </c>
      <c r="E396" s="4" t="s">
        <v>21</v>
      </c>
      <c r="F396" s="4" t="s">
        <v>10</v>
      </c>
      <c r="G396" s="4" t="s">
        <v>11</v>
      </c>
      <c r="H396" s="7" t="str">
        <f>HYPERLINK("http://apps.fcc.gov/ecfs/document/view?id=7520943750","  (1 page)")</f>
        <v>  (1 page)</v>
      </c>
    </row>
    <row r="397" spans="1:8" ht="12.75">
      <c r="A397" s="4" t="s">
        <v>6</v>
      </c>
      <c r="B397" s="8" t="s">
        <v>946</v>
      </c>
      <c r="C397" s="4" t="s">
        <v>158</v>
      </c>
      <c r="D397" s="4" t="s">
        <v>21</v>
      </c>
      <c r="E397" s="4" t="s">
        <v>9</v>
      </c>
      <c r="F397" s="4" t="s">
        <v>10</v>
      </c>
      <c r="G397" s="4" t="s">
        <v>11</v>
      </c>
      <c r="H397" s="7" t="str">
        <f>HYPERLINK("http://apps.fcc.gov/ecfs/document/view?id=7520944117","  (2 pages)")</f>
        <v>  (2 pages)</v>
      </c>
    </row>
    <row r="398" spans="1:8" ht="12.75">
      <c r="A398" s="4" t="s">
        <v>6</v>
      </c>
      <c r="B398" s="4" t="s">
        <v>1016</v>
      </c>
      <c r="C398" s="4" t="s">
        <v>377</v>
      </c>
      <c r="D398" s="4" t="s">
        <v>333</v>
      </c>
      <c r="E398" s="4" t="s">
        <v>21</v>
      </c>
      <c r="F398" s="4" t="s">
        <v>10</v>
      </c>
      <c r="G398" s="4" t="s">
        <v>11</v>
      </c>
      <c r="H398" s="7" t="str">
        <f>HYPERLINK("http://apps.fcc.gov/ecfs/document/view?id=7520943451","  (2 pages)")</f>
        <v>  (2 pages)</v>
      </c>
    </row>
    <row r="399" spans="1:8" ht="12.75">
      <c r="A399" s="4" t="s">
        <v>6</v>
      </c>
      <c r="B399" s="4" t="s">
        <v>511</v>
      </c>
      <c r="C399" s="4" t="s">
        <v>8</v>
      </c>
      <c r="D399" s="4" t="s">
        <v>333</v>
      </c>
      <c r="E399" s="4" t="s">
        <v>333</v>
      </c>
      <c r="F399" s="4" t="s">
        <v>10</v>
      </c>
      <c r="G399" s="4" t="s">
        <v>11</v>
      </c>
      <c r="H399" s="7" t="str">
        <f>HYPERLINK("http://apps.fcc.gov/ecfs/document/view?id=7520943273"," (1 page)")</f>
        <v> (1 page)</v>
      </c>
    </row>
    <row r="400" spans="1:8" ht="12.75">
      <c r="A400" s="4" t="s">
        <v>6</v>
      </c>
      <c r="B400" s="4" t="s">
        <v>818</v>
      </c>
      <c r="C400" s="4" t="s">
        <v>554</v>
      </c>
      <c r="D400" s="4" t="s">
        <v>524</v>
      </c>
      <c r="E400" s="4" t="s">
        <v>524</v>
      </c>
      <c r="F400" s="4" t="s">
        <v>10</v>
      </c>
      <c r="G400" s="4" t="s">
        <v>11</v>
      </c>
      <c r="H400" s="7" t="str">
        <f>HYPERLINK("http://apps.fcc.gov/ecfs/document/view?id=7520943038","Marengo County School District Comment on E Rate NPRM (1 page)")</f>
        <v>Marengo County School District Comment on E Rate NPRM (1 page)</v>
      </c>
    </row>
    <row r="401" spans="1:8" ht="12.75">
      <c r="A401" s="4" t="s">
        <v>6</v>
      </c>
      <c r="B401" s="4" t="s">
        <v>431</v>
      </c>
      <c r="C401" s="4" t="s">
        <v>8</v>
      </c>
      <c r="D401" s="4" t="s">
        <v>333</v>
      </c>
      <c r="E401" s="4" t="s">
        <v>333</v>
      </c>
      <c r="F401" s="4" t="s">
        <v>10</v>
      </c>
      <c r="G401" s="4" t="s">
        <v>11</v>
      </c>
      <c r="H401" s="7" t="str">
        <f>HYPERLINK("http://apps.fcc.gov/ecfs/document/view?id=7520943303","  (1 page)")</f>
        <v>  (1 page)</v>
      </c>
    </row>
    <row r="402" spans="1:8" ht="12.75">
      <c r="A402" s="4" t="s">
        <v>6</v>
      </c>
      <c r="B402" s="4" t="s">
        <v>763</v>
      </c>
      <c r="C402" s="4" t="s">
        <v>8</v>
      </c>
      <c r="D402" s="4" t="s">
        <v>764</v>
      </c>
      <c r="E402" s="4" t="s">
        <v>765</v>
      </c>
      <c r="F402" s="4" t="s">
        <v>10</v>
      </c>
      <c r="G402" s="4" t="s">
        <v>11</v>
      </c>
      <c r="H402" s="7" t="str">
        <f>HYPERLINK("http://apps.fcc.gov/ecfs/document/view?id=7520939158"," (1 page)")</f>
        <v> (1 page)</v>
      </c>
    </row>
    <row r="403" spans="1:8" ht="12.75">
      <c r="A403" s="4" t="s">
        <v>6</v>
      </c>
      <c r="B403" s="4" t="s">
        <v>690</v>
      </c>
      <c r="C403" s="4" t="s">
        <v>8</v>
      </c>
      <c r="D403" s="4" t="s">
        <v>673</v>
      </c>
      <c r="E403" s="4" t="s">
        <v>673</v>
      </c>
      <c r="F403" s="4" t="s">
        <v>10</v>
      </c>
      <c r="G403" s="4" t="s">
        <v>11</v>
      </c>
      <c r="H403" s="7" t="str">
        <f>HYPERLINK("http://apps.fcc.gov/ecfs/document/view?id=7520942526"," (1 page)")</f>
        <v> (1 page)</v>
      </c>
    </row>
    <row r="404" spans="1:8" ht="12.75">
      <c r="A404" s="4" t="s">
        <v>6</v>
      </c>
      <c r="B404" s="4" t="s">
        <v>778</v>
      </c>
      <c r="C404" s="4" t="s">
        <v>8</v>
      </c>
      <c r="D404" s="4" t="s">
        <v>770</v>
      </c>
      <c r="E404" s="4" t="s">
        <v>768</v>
      </c>
      <c r="F404" s="4" t="s">
        <v>10</v>
      </c>
      <c r="G404" s="4" t="s">
        <v>11</v>
      </c>
      <c r="H404" s="7" t="str">
        <f>HYPERLINK("http://apps.fcc.gov/ecfs/document/view?id=7520938278"," (1 page)")</f>
        <v> (1 page)</v>
      </c>
    </row>
    <row r="405" spans="1:12" ht="12.75">
      <c r="A405" t="s">
        <v>6</v>
      </c>
      <c r="B405" s="4" t="s">
        <v>429</v>
      </c>
      <c r="C405" t="s">
        <v>8</v>
      </c>
      <c r="D405" t="s">
        <v>1109</v>
      </c>
      <c r="E405" t="s">
        <v>1109</v>
      </c>
      <c r="F405" t="s">
        <v>10</v>
      </c>
      <c r="G405" t="s">
        <v>11</v>
      </c>
      <c r="H405" s="1" t="str">
        <f>HYPERLINK("http://apps.fcc.gov/ecfs/document/view?id=7520944709","  (1 page)")</f>
        <v>  (1 page)</v>
      </c>
      <c r="I405"/>
      <c r="J405"/>
      <c r="K405"/>
      <c r="L405"/>
    </row>
    <row r="406" spans="1:8" ht="12.75">
      <c r="A406" s="4" t="s">
        <v>6</v>
      </c>
      <c r="B406" s="4" t="s">
        <v>123</v>
      </c>
      <c r="C406" s="4" t="s">
        <v>8</v>
      </c>
      <c r="D406" s="4" t="s">
        <v>9</v>
      </c>
      <c r="E406" s="4" t="s">
        <v>9</v>
      </c>
      <c r="F406" s="4" t="s">
        <v>10</v>
      </c>
      <c r="G406" s="4" t="s">
        <v>11</v>
      </c>
      <c r="H406" s="7" t="str">
        <f>HYPERLINK("http://apps.fcc.gov/ecfs/document/view?id=7520944259","  (1 page)")</f>
        <v>  (1 page)</v>
      </c>
    </row>
    <row r="407" spans="1:8" ht="12.75">
      <c r="A407" s="4" t="s">
        <v>6</v>
      </c>
      <c r="B407" s="4" t="s">
        <v>856</v>
      </c>
      <c r="C407" s="4" t="s">
        <v>409</v>
      </c>
      <c r="D407" s="4" t="s">
        <v>333</v>
      </c>
      <c r="E407" s="4" t="s">
        <v>333</v>
      </c>
      <c r="F407" s="4" t="s">
        <v>10</v>
      </c>
      <c r="G407" s="4" t="s">
        <v>11</v>
      </c>
      <c r="H407" s="7" t="str">
        <f>HYPERLINK("http://apps.fcc.gov/ecfs/document/view?id=7520943432","  (2 pages)")</f>
        <v>  (2 pages)</v>
      </c>
    </row>
    <row r="408" spans="1:8" ht="12.75">
      <c r="A408" s="4" t="s">
        <v>6</v>
      </c>
      <c r="B408" s="4" t="s">
        <v>428</v>
      </c>
      <c r="C408" s="4" t="s">
        <v>8</v>
      </c>
      <c r="D408" s="4" t="s">
        <v>333</v>
      </c>
      <c r="E408" s="4" t="s">
        <v>333</v>
      </c>
      <c r="F408" s="4" t="s">
        <v>10</v>
      </c>
      <c r="G408" s="4" t="s">
        <v>11</v>
      </c>
      <c r="H408" s="7" t="str">
        <f>HYPERLINK("http://apps.fcc.gov/ecfs/document/view?id=7520943311","  (1 page)")</f>
        <v>  (1 page)</v>
      </c>
    </row>
    <row r="409" spans="1:8" ht="12.75">
      <c r="A409" s="4" t="s">
        <v>6</v>
      </c>
      <c r="B409" s="4" t="s">
        <v>894</v>
      </c>
      <c r="C409" s="4" t="s">
        <v>8</v>
      </c>
      <c r="D409" s="4" t="s">
        <v>333</v>
      </c>
      <c r="E409" s="4" t="s">
        <v>333</v>
      </c>
      <c r="F409" s="4" t="s">
        <v>10</v>
      </c>
      <c r="G409" s="4" t="s">
        <v>11</v>
      </c>
      <c r="H409" s="7" t="str">
        <f>HYPERLINK("http://apps.fcc.gov/ecfs/document/view?id=7520943290","  (1 page)")</f>
        <v>  (1 page)</v>
      </c>
    </row>
    <row r="410" spans="1:8" ht="12.75">
      <c r="A410" s="4" t="s">
        <v>6</v>
      </c>
      <c r="B410" s="4" t="s">
        <v>1023</v>
      </c>
      <c r="C410" s="4" t="s">
        <v>380</v>
      </c>
      <c r="D410" s="4" t="s">
        <v>333</v>
      </c>
      <c r="E410" s="4" t="s">
        <v>21</v>
      </c>
      <c r="F410" s="4" t="s">
        <v>10</v>
      </c>
      <c r="G410" s="4" t="s">
        <v>11</v>
      </c>
      <c r="H410" s="7" t="str">
        <f>HYPERLINK("http://apps.fcc.gov/ecfs/document/view?id=7520943491","Mary Queen of Apostles School Comment on E Rate NPRM  (1 page)")</f>
        <v>Mary Queen of Apostles School Comment on E Rate NPRM  (1 page)</v>
      </c>
    </row>
    <row r="411" spans="1:8" ht="12.75">
      <c r="A411" s="4" t="s">
        <v>6</v>
      </c>
      <c r="B411" s="4" t="s">
        <v>607</v>
      </c>
      <c r="D411" s="4" t="s">
        <v>598</v>
      </c>
      <c r="E411" s="4" t="s">
        <v>524</v>
      </c>
      <c r="F411" s="4" t="s">
        <v>10</v>
      </c>
      <c r="G411" s="4" t="s">
        <v>11</v>
      </c>
      <c r="H411" s="7" t="str">
        <f>HYPERLINK("http://apps.fcc.gov/ecfs/document/view?id=7520943001","  (1 page)")</f>
        <v>  (1 page)</v>
      </c>
    </row>
    <row r="412" spans="1:8" ht="12.75">
      <c r="A412" s="4" t="s">
        <v>6</v>
      </c>
      <c r="B412" s="4" t="s">
        <v>122</v>
      </c>
      <c r="C412" s="4" t="s">
        <v>8</v>
      </c>
      <c r="D412" s="4" t="s">
        <v>21</v>
      </c>
      <c r="E412" s="4" t="s">
        <v>9</v>
      </c>
      <c r="F412" s="4" t="s">
        <v>10</v>
      </c>
      <c r="G412" s="4" t="s">
        <v>11</v>
      </c>
      <c r="H412" s="7" t="str">
        <f>HYPERLINK("http://apps.fcc.gov/ecfs/document/view?id=7520943970","Massachusetts Erate Comments (11 pages)")</f>
        <v>Massachusetts Erate Comments (11 pages)</v>
      </c>
    </row>
    <row r="413" spans="1:8" ht="12.75">
      <c r="A413" s="4" t="s">
        <v>6</v>
      </c>
      <c r="B413" s="4" t="s">
        <v>681</v>
      </c>
      <c r="C413" s="4" t="s">
        <v>8</v>
      </c>
      <c r="D413" s="4" t="s">
        <v>673</v>
      </c>
      <c r="E413" s="4" t="s">
        <v>673</v>
      </c>
      <c r="F413" s="4" t="s">
        <v>10</v>
      </c>
      <c r="G413" s="4" t="s">
        <v>11</v>
      </c>
      <c r="H413" s="7" t="str">
        <f>HYPERLINK("http://apps.fcc.gov/ecfs/document/view?id=7520942565"," (1 page)")</f>
        <v> (1 page)</v>
      </c>
    </row>
    <row r="414" spans="1:8" ht="12.75">
      <c r="A414" s="4" t="s">
        <v>6</v>
      </c>
      <c r="B414" s="4" t="s">
        <v>510</v>
      </c>
      <c r="C414" s="4" t="s">
        <v>8</v>
      </c>
      <c r="D414" s="4" t="s">
        <v>333</v>
      </c>
      <c r="E414" s="4" t="s">
        <v>333</v>
      </c>
      <c r="F414" s="4" t="s">
        <v>10</v>
      </c>
      <c r="G414" s="4" t="s">
        <v>11</v>
      </c>
      <c r="H414" s="7" t="str">
        <f>HYPERLINK("http://apps.fcc.gov/ecfs/document/view?id=7520943254","  (1 page)")</f>
        <v>  (1 page)</v>
      </c>
    </row>
    <row r="415" spans="1:8" ht="12.75">
      <c r="A415" s="4" t="s">
        <v>6</v>
      </c>
      <c r="B415" s="4" t="s">
        <v>120</v>
      </c>
      <c r="C415" s="4" t="s">
        <v>121</v>
      </c>
      <c r="D415" s="4" t="s">
        <v>21</v>
      </c>
      <c r="E415" s="4" t="s">
        <v>9</v>
      </c>
      <c r="F415" s="4" t="s">
        <v>10</v>
      </c>
      <c r="G415" s="4" t="s">
        <v>11</v>
      </c>
      <c r="H415" s="7" t="str">
        <f>HYPERLINK("http://apps.fcc.gov/ecfs/document/view?id=7520943874","  (21 pages)")</f>
        <v>  (21 pages)</v>
      </c>
    </row>
    <row r="416" spans="1:8" ht="12.75">
      <c r="A416" s="4" t="s">
        <v>6</v>
      </c>
      <c r="B416" s="4" t="s">
        <v>962</v>
      </c>
      <c r="C416" s="4" t="s">
        <v>619</v>
      </c>
      <c r="D416" s="4" t="s">
        <v>598</v>
      </c>
      <c r="E416" s="4" t="s">
        <v>524</v>
      </c>
      <c r="F416" s="4" t="s">
        <v>10</v>
      </c>
      <c r="G416" s="4" t="s">
        <v>11</v>
      </c>
      <c r="H416" s="7" t="str">
        <f>HYPERLINK("http://apps.fcc.gov/ecfs/document/view?id=7520942962","Response to FCC NPRM (2 pages)")</f>
        <v>Response to FCC NPRM (2 pages)</v>
      </c>
    </row>
    <row r="417" spans="1:8" ht="12.75">
      <c r="A417" s="4" t="s">
        <v>6</v>
      </c>
      <c r="B417" s="4" t="s">
        <v>1017</v>
      </c>
      <c r="C417" s="4" t="s">
        <v>206</v>
      </c>
      <c r="D417" s="4" t="s">
        <v>21</v>
      </c>
      <c r="E417" s="4" t="s">
        <v>9</v>
      </c>
      <c r="F417" s="4" t="s">
        <v>10</v>
      </c>
      <c r="G417" s="4" t="s">
        <v>11</v>
      </c>
      <c r="H417" s="7" t="str">
        <f>HYPERLINK("http://apps.fcc.gov/ecfs/document/view?id=7520944096","Mecosta Osceola (1 page)")</f>
        <v>Mecosta Osceola (1 page)</v>
      </c>
    </row>
    <row r="418" spans="1:8" ht="12.75">
      <c r="A418" s="4" t="s">
        <v>6</v>
      </c>
      <c r="B418" s="4" t="s">
        <v>509</v>
      </c>
      <c r="C418" s="4" t="s">
        <v>8</v>
      </c>
      <c r="D418" s="4" t="s">
        <v>333</v>
      </c>
      <c r="E418" s="4" t="s">
        <v>333</v>
      </c>
      <c r="F418" s="4" t="s">
        <v>10</v>
      </c>
      <c r="G418" s="4" t="s">
        <v>11</v>
      </c>
      <c r="H418" s="7" t="str">
        <f>HYPERLINK("http://apps.fcc.gov/ecfs/document/view?id=7520943262","  (1 page)")</f>
        <v>  (1 page)</v>
      </c>
    </row>
    <row r="419" spans="1:8" ht="12.75">
      <c r="A419" s="4" t="s">
        <v>6</v>
      </c>
      <c r="B419" s="4" t="s">
        <v>357</v>
      </c>
      <c r="C419" s="4" t="s">
        <v>8</v>
      </c>
      <c r="D419" s="4" t="s">
        <v>333</v>
      </c>
      <c r="E419" s="4" t="s">
        <v>21</v>
      </c>
      <c r="F419" s="4" t="s">
        <v>10</v>
      </c>
      <c r="G419" s="4" t="s">
        <v>11</v>
      </c>
      <c r="H419" s="7" t="str">
        <f>HYPERLINK("http://apps.fcc.gov/ecfs/document/view?id=7520943483","Menifee USD Comments (1 page)")</f>
        <v>Menifee USD Comments (1 page)</v>
      </c>
    </row>
    <row r="420" spans="1:8" ht="12.75">
      <c r="A420" s="4" t="s">
        <v>6</v>
      </c>
      <c r="B420" s="4" t="s">
        <v>965</v>
      </c>
      <c r="C420" s="4" t="s">
        <v>171</v>
      </c>
      <c r="D420" s="4" t="s">
        <v>21</v>
      </c>
      <c r="E420" s="4" t="s">
        <v>9</v>
      </c>
      <c r="F420" s="4" t="s">
        <v>10</v>
      </c>
      <c r="G420" s="4" t="s">
        <v>11</v>
      </c>
      <c r="H420" s="7" t="str">
        <f>HYPERLINK("http://apps.fcc.gov/ecfs/document/view?id=7520944098","Merced River (2 pages)")</f>
        <v>Merced River (2 pages)</v>
      </c>
    </row>
    <row r="421" spans="1:8" ht="12.75">
      <c r="A421" s="4" t="s">
        <v>6</v>
      </c>
      <c r="B421" s="4" t="s">
        <v>356</v>
      </c>
      <c r="C421" s="4" t="s">
        <v>8</v>
      </c>
      <c r="D421" s="4" t="s">
        <v>21</v>
      </c>
      <c r="E421" s="4" t="s">
        <v>21</v>
      </c>
      <c r="F421" s="4" t="s">
        <v>10</v>
      </c>
      <c r="G421" s="4" t="s">
        <v>11</v>
      </c>
      <c r="H421" s="7" t="str">
        <f>HYPERLINK("http://apps.fcc.gov/ecfs/document/view?id=7520943718","Merit s e rate NPRM Response (10 pages)")</f>
        <v>Merit s e rate NPRM Response (10 pages)</v>
      </c>
    </row>
    <row r="422" spans="1:8" ht="12.75">
      <c r="A422" s="4" t="s">
        <v>6</v>
      </c>
      <c r="B422" s="4" t="s">
        <v>567</v>
      </c>
      <c r="C422" s="4" t="s">
        <v>8</v>
      </c>
      <c r="D422" s="4" t="s">
        <v>524</v>
      </c>
      <c r="E422" s="4" t="s">
        <v>524</v>
      </c>
      <c r="F422" s="4" t="s">
        <v>10</v>
      </c>
      <c r="G422" s="4" t="s">
        <v>11</v>
      </c>
      <c r="H422" s="7" t="str">
        <f>HYPERLINK("http://apps.fcc.gov/ecfs/document/view?id=7520943068","  (1 page)")</f>
        <v>  (1 page)</v>
      </c>
    </row>
    <row r="423" spans="1:8" ht="12.75">
      <c r="A423" s="4" t="s">
        <v>6</v>
      </c>
      <c r="B423" s="4" t="s">
        <v>680</v>
      </c>
      <c r="C423" s="4" t="s">
        <v>8</v>
      </c>
      <c r="D423" s="4" t="s">
        <v>673</v>
      </c>
      <c r="E423" s="4" t="s">
        <v>673</v>
      </c>
      <c r="F423" s="4" t="s">
        <v>10</v>
      </c>
      <c r="G423" s="4" t="s">
        <v>11</v>
      </c>
      <c r="H423" s="7" t="str">
        <f>HYPERLINK("http://apps.fcc.gov/ecfs/document/view?id=7520942594","Miami ISD Comment on NPRM changes to Email web hosting (1 page)")</f>
        <v>Miami ISD Comment on NPRM changes to Email web hosting (1 page)</v>
      </c>
    </row>
    <row r="424" spans="1:8" ht="12.75">
      <c r="A424" s="4" t="s">
        <v>6</v>
      </c>
      <c r="B424" s="4" t="s">
        <v>886</v>
      </c>
      <c r="D424" s="4" t="s">
        <v>598</v>
      </c>
      <c r="E424" s="4" t="s">
        <v>524</v>
      </c>
      <c r="F424" s="4" t="s">
        <v>10</v>
      </c>
      <c r="G424" s="4" t="s">
        <v>11</v>
      </c>
      <c r="H424" s="7" t="str">
        <f>HYPERLINK("http://apps.fcc.gov/ecfs/document/view?id=7520942977","M DCPS NPRM 13 184 RESPONSE 9 11 13 (17 pages)")</f>
        <v>M DCPS NPRM 13 184 RESPONSE 9 11 13 (17 pages)</v>
      </c>
    </row>
    <row r="425" spans="1:8" ht="12.75">
      <c r="A425" s="4" t="s">
        <v>6</v>
      </c>
      <c r="B425" s="4" t="s">
        <v>355</v>
      </c>
      <c r="C425" s="4" t="s">
        <v>8</v>
      </c>
      <c r="D425" s="4" t="s">
        <v>21</v>
      </c>
      <c r="E425" s="4" t="s">
        <v>21</v>
      </c>
      <c r="F425" s="4" t="s">
        <v>10</v>
      </c>
      <c r="G425" s="4" t="s">
        <v>11</v>
      </c>
      <c r="H425" s="7" t="str">
        <f>HYPERLINK("http://apps.fcc.gov/ecfs/document/view?id=7520943681"," (1 page)")</f>
        <v> (1 page)</v>
      </c>
    </row>
    <row r="426" spans="1:8" ht="12.75">
      <c r="A426" s="4" t="s">
        <v>6</v>
      </c>
      <c r="B426" s="4" t="s">
        <v>604</v>
      </c>
      <c r="C426" s="4" t="s">
        <v>8</v>
      </c>
      <c r="D426" s="4" t="s">
        <v>598</v>
      </c>
      <c r="E426" s="4" t="s">
        <v>524</v>
      </c>
      <c r="F426" s="4" t="s">
        <v>10</v>
      </c>
      <c r="G426" s="4" t="s">
        <v>11</v>
      </c>
      <c r="H426" s="7" t="str">
        <f>HYPERLINK("http://apps.fcc.gov/ecfs/document/view?id=7520942999","  (1 page)")</f>
        <v>  (1 page)</v>
      </c>
    </row>
    <row r="427" spans="1:8" ht="12.75">
      <c r="A427" s="4" t="s">
        <v>6</v>
      </c>
      <c r="B427" s="4" t="s">
        <v>426</v>
      </c>
      <c r="C427" s="4" t="s">
        <v>8</v>
      </c>
      <c r="D427" s="4" t="s">
        <v>333</v>
      </c>
      <c r="E427" s="4" t="s">
        <v>333</v>
      </c>
      <c r="F427" s="4" t="s">
        <v>10</v>
      </c>
      <c r="G427" s="4" t="s">
        <v>11</v>
      </c>
      <c r="H427" s="7" t="str">
        <f>HYPERLINK("http://apps.fcc.gov/ecfs/document/view?id=7520943412","  (1 page)")</f>
        <v>  (1 page)</v>
      </c>
    </row>
    <row r="428" spans="1:8" ht="12.75">
      <c r="A428" s="4" t="s">
        <v>6</v>
      </c>
      <c r="B428" s="4" t="s">
        <v>116</v>
      </c>
      <c r="C428" s="4" t="s">
        <v>8</v>
      </c>
      <c r="D428" s="4" t="s">
        <v>9</v>
      </c>
      <c r="E428" s="4" t="s">
        <v>9</v>
      </c>
      <c r="F428" s="4" t="s">
        <v>10</v>
      </c>
      <c r="G428" s="4" t="s">
        <v>11</v>
      </c>
      <c r="H428" s="7" t="str">
        <f>HYPERLINK("http://apps.fcc.gov/ecfs/document/view?id=7520944221","  (1 page)")</f>
        <v>  (1 page)</v>
      </c>
    </row>
    <row r="429" spans="1:8" ht="12.75">
      <c r="A429" s="4" t="s">
        <v>6</v>
      </c>
      <c r="B429" s="4" t="s">
        <v>115</v>
      </c>
      <c r="C429" s="4" t="s">
        <v>8</v>
      </c>
      <c r="D429" s="4" t="s">
        <v>9</v>
      </c>
      <c r="E429" s="4" t="s">
        <v>9</v>
      </c>
      <c r="F429" s="4" t="s">
        <v>10</v>
      </c>
      <c r="G429" s="4" t="s">
        <v>11</v>
      </c>
      <c r="H429" s="7" t="str">
        <f>HYPERLINK("http://apps.fcc.gov/ecfs/document/view?id=7520944248","  (1 page)")</f>
        <v>  (1 page)</v>
      </c>
    </row>
    <row r="430" spans="1:12" ht="12.75">
      <c r="A430" t="s">
        <v>6</v>
      </c>
      <c r="B430" s="4" t="s">
        <v>1124</v>
      </c>
      <c r="C430" t="s">
        <v>8</v>
      </c>
      <c r="D430" t="s">
        <v>598</v>
      </c>
      <c r="E430" t="s">
        <v>1109</v>
      </c>
      <c r="F430" t="s">
        <v>10</v>
      </c>
      <c r="G430" t="s">
        <v>11</v>
      </c>
      <c r="H430" s="1" t="str">
        <f>HYPERLINK("http://apps.fcc.gov/ecfs/document/view?id=7520944601","  (2 pages)")</f>
        <v>  (2 pages)</v>
      </c>
      <c r="I430"/>
      <c r="J430"/>
      <c r="K430"/>
      <c r="L430"/>
    </row>
    <row r="431" spans="1:8" ht="12.75">
      <c r="A431" s="4" t="s">
        <v>6</v>
      </c>
      <c r="B431" s="4" t="s">
        <v>944</v>
      </c>
      <c r="C431" s="4" t="s">
        <v>615</v>
      </c>
      <c r="D431" s="4" t="s">
        <v>598</v>
      </c>
      <c r="E431" s="4" t="s">
        <v>524</v>
      </c>
      <c r="F431" s="4" t="s">
        <v>10</v>
      </c>
      <c r="G431" s="4" t="s">
        <v>11</v>
      </c>
      <c r="H431" s="7" t="str">
        <f>HYPERLINK("http://apps.fcc.gov/ecfs/document/view?id=7520942932"," (1 page)")</f>
        <v> (1 page)</v>
      </c>
    </row>
    <row r="432" spans="1:8" ht="12.75">
      <c r="A432" s="4" t="s">
        <v>6</v>
      </c>
      <c r="B432" s="4" t="s">
        <v>940</v>
      </c>
      <c r="C432" s="4" t="s">
        <v>637</v>
      </c>
      <c r="D432" s="4" t="s">
        <v>598</v>
      </c>
      <c r="E432" s="4" t="s">
        <v>598</v>
      </c>
      <c r="F432" s="4" t="s">
        <v>10</v>
      </c>
      <c r="G432" s="4" t="s">
        <v>11</v>
      </c>
      <c r="H432" s="7" t="str">
        <f>HYPERLINK("http://apps.fcc.gov/ecfs/document/view?id=7520942877","  (1 page)")</f>
        <v>  (1 page)</v>
      </c>
    </row>
    <row r="433" spans="1:8" ht="12.75">
      <c r="A433" s="4" t="s">
        <v>6</v>
      </c>
      <c r="B433" s="4" t="s">
        <v>1008</v>
      </c>
      <c r="C433" s="4" t="s">
        <v>126</v>
      </c>
      <c r="D433" s="4" t="s">
        <v>21</v>
      </c>
      <c r="E433" s="4" t="s">
        <v>9</v>
      </c>
      <c r="F433" s="4" t="s">
        <v>10</v>
      </c>
      <c r="G433" s="4" t="s">
        <v>11</v>
      </c>
      <c r="H433" s="7" t="str">
        <f>HYPERLINK("http://apps.fcc.gov/ecfs/document/view?id=7520944138","  (33 pages)")</f>
        <v>  (33 pages)</v>
      </c>
    </row>
    <row r="434" spans="1:8" ht="12.75">
      <c r="A434" s="4" t="s">
        <v>6</v>
      </c>
      <c r="B434" s="4" t="s">
        <v>353</v>
      </c>
      <c r="C434" s="4" t="s">
        <v>354</v>
      </c>
      <c r="D434" s="4" t="s">
        <v>21</v>
      </c>
      <c r="E434" s="4" t="s">
        <v>21</v>
      </c>
      <c r="F434" s="4" t="s">
        <v>10</v>
      </c>
      <c r="G434" s="4" t="s">
        <v>11</v>
      </c>
      <c r="H434" s="7" t="str">
        <f>HYPERLINK("http://apps.fcc.gov/ecfs/document/view?id=7520943623","  (42 pages)")</f>
        <v>  (42 pages)</v>
      </c>
    </row>
    <row r="435" spans="1:8" ht="12.75">
      <c r="A435" s="4" t="s">
        <v>6</v>
      </c>
      <c r="B435" s="4" t="s">
        <v>300</v>
      </c>
      <c r="C435" s="4" t="s">
        <v>8</v>
      </c>
      <c r="D435" s="4" t="s">
        <v>21</v>
      </c>
      <c r="E435" s="4" t="s">
        <v>21</v>
      </c>
      <c r="F435" s="4" t="s">
        <v>10</v>
      </c>
      <c r="G435" s="4" t="s">
        <v>11</v>
      </c>
      <c r="H435" s="7" t="str">
        <f>HYPERLINK("http://apps.fcc.gov/ecfs/document/view?id=7520943819","  (12 pages)")</f>
        <v>  (12 pages)</v>
      </c>
    </row>
    <row r="436" spans="1:12" ht="12.75">
      <c r="A436" t="s">
        <v>6</v>
      </c>
      <c r="B436" s="4" t="s">
        <v>1122</v>
      </c>
      <c r="C436" t="s">
        <v>8</v>
      </c>
      <c r="D436" t="s">
        <v>598</v>
      </c>
      <c r="E436" t="s">
        <v>1109</v>
      </c>
      <c r="F436" t="s">
        <v>10</v>
      </c>
      <c r="G436" t="s">
        <v>11</v>
      </c>
      <c r="H436" s="1" t="str">
        <f>HYPERLINK("http://apps.fcc.gov/ecfs/document/view?id=7520944652","  (2 pages)")</f>
        <v>  (2 pages)</v>
      </c>
      <c r="I436"/>
      <c r="J436"/>
      <c r="K436"/>
      <c r="L436"/>
    </row>
    <row r="437" spans="1:8" ht="12.75">
      <c r="A437" s="4" t="s">
        <v>6</v>
      </c>
      <c r="B437" s="4" t="s">
        <v>807</v>
      </c>
      <c r="C437" s="4" t="s">
        <v>8</v>
      </c>
      <c r="D437" s="4" t="s">
        <v>333</v>
      </c>
      <c r="E437" s="4" t="s">
        <v>333</v>
      </c>
      <c r="F437" s="4" t="s">
        <v>10</v>
      </c>
      <c r="G437" s="4" t="s">
        <v>11</v>
      </c>
      <c r="H437" s="7" t="str">
        <f>HYPERLINK("http://apps.fcc.gov/ecfs/document/view?id=7520943331","  (1 page)")</f>
        <v>  (1 page)</v>
      </c>
    </row>
    <row r="438" spans="1:8" ht="12.75">
      <c r="A438" s="4" t="s">
        <v>6</v>
      </c>
      <c r="B438" s="4" t="s">
        <v>125</v>
      </c>
      <c r="C438" s="4" t="s">
        <v>126</v>
      </c>
      <c r="D438" s="4" t="s">
        <v>9</v>
      </c>
      <c r="E438" s="4" t="s">
        <v>9</v>
      </c>
      <c r="F438" s="4" t="s">
        <v>10</v>
      </c>
      <c r="G438" s="4" t="s">
        <v>11</v>
      </c>
      <c r="H438" s="7" t="str">
        <f>HYPERLINK("http://apps.fcc.gov/ecfs/document/view?id=7520944253","Amended Comments (33 pages)")</f>
        <v>Amended Comments (33 pages)</v>
      </c>
    </row>
    <row r="439" spans="1:8" ht="12.75">
      <c r="A439" s="4" t="s">
        <v>6</v>
      </c>
      <c r="B439" s="4" t="s">
        <v>1097</v>
      </c>
      <c r="C439" s="4" t="s">
        <v>1069</v>
      </c>
      <c r="D439" s="4" t="s">
        <v>764</v>
      </c>
      <c r="E439" s="4" t="s">
        <v>1070</v>
      </c>
      <c r="F439" s="4" t="s">
        <v>10</v>
      </c>
      <c r="G439" s="4" t="s">
        <v>11</v>
      </c>
      <c r="H439" s="7" t="str">
        <f>HYPERLINK("http://apps.fcc.gov/ecfs/document/view?id=7520944428","  (3 pages)")</f>
        <v>  (3 pages)</v>
      </c>
    </row>
    <row r="440" spans="1:9" ht="12.75">
      <c r="A440" s="4" t="s">
        <v>6</v>
      </c>
      <c r="B440" s="4" t="s">
        <v>874</v>
      </c>
      <c r="C440" s="4" t="s">
        <v>93</v>
      </c>
      <c r="D440" s="4" t="s">
        <v>524</v>
      </c>
      <c r="E440" s="4" t="s">
        <v>524</v>
      </c>
      <c r="F440" s="4" t="s">
        <v>10</v>
      </c>
      <c r="G440" s="4" t="s">
        <v>11</v>
      </c>
      <c r="H440" s="7" t="str">
        <f>HYPERLINK("http://apps.fcc.gov/ecfs/document/view?id=7520943023","FCC Comment from Monroe County (2 pages)")</f>
        <v>FCC Comment from Monroe County (2 pages)</v>
      </c>
      <c r="I440" s="7" t="str">
        <f>HYPERLINK("http://apps.fcc.gov/ecfs/document/view?id=7520944116","  (1 page)")</f>
        <v>  (1 page)</v>
      </c>
    </row>
    <row r="441" spans="1:8" ht="12.75">
      <c r="A441" s="4" t="s">
        <v>6</v>
      </c>
      <c r="B441" s="4" t="s">
        <v>837</v>
      </c>
      <c r="C441" s="4" t="s">
        <v>48</v>
      </c>
      <c r="D441" s="4" t="s">
        <v>21</v>
      </c>
      <c r="E441" s="4" t="s">
        <v>9</v>
      </c>
      <c r="F441" s="4" t="s">
        <v>10</v>
      </c>
      <c r="G441" s="4" t="s">
        <v>11</v>
      </c>
      <c r="H441" s="7" t="str">
        <f>HYPERLINK("http://apps.fcc.gov/ecfs/document/view?id=7520943935","  (3 pages)")</f>
        <v>  (3 pages)</v>
      </c>
    </row>
    <row r="442" spans="1:12" ht="12.75">
      <c r="A442" s="4" t="s">
        <v>6</v>
      </c>
      <c r="B442" s="4" t="s">
        <v>896</v>
      </c>
      <c r="C442" s="4" t="s">
        <v>1092</v>
      </c>
      <c r="D442" s="4" t="s">
        <v>333</v>
      </c>
      <c r="E442" s="4" t="s">
        <v>333</v>
      </c>
      <c r="F442" s="4" t="s">
        <v>10</v>
      </c>
      <c r="G442" s="4" t="s">
        <v>11</v>
      </c>
      <c r="H442" s="7" t="str">
        <f>HYPERLINK("http://apps.fcc.gov/ecfs/document/view?id=7520943228"," (1 page)")</f>
        <v> (1 page)</v>
      </c>
      <c r="I442" s="7" t="str">
        <f>HYPERLINK("http://apps.fcc.gov/ecfs/document/view?id=7520943227"," (1 page)")</f>
        <v> (1 page)</v>
      </c>
      <c r="J442" s="7" t="str">
        <f>HYPERLINK("http://apps.fcc.gov/ecfs/document/view?id=7520943230"," (1 page)")</f>
        <v> (1 page)</v>
      </c>
      <c r="K442" s="7" t="str">
        <f>HYPERLINK("http://apps.fcc.gov/ecfs/document/view?id=7520943233"," (1 page)")</f>
        <v> (1 page)</v>
      </c>
      <c r="L442" s="7" t="str">
        <f>HYPERLINK("http://apps.fcc.gov/ecfs/document/view?id=7520944352"," (1 page)")</f>
        <v> (1 page)</v>
      </c>
    </row>
    <row r="443" spans="1:8" ht="12.75">
      <c r="A443" s="4" t="s">
        <v>6</v>
      </c>
      <c r="B443" s="4" t="s">
        <v>1077</v>
      </c>
      <c r="C443" s="4" t="s">
        <v>1076</v>
      </c>
      <c r="D443" s="4" t="s">
        <v>21</v>
      </c>
      <c r="E443" s="4" t="s">
        <v>1070</v>
      </c>
      <c r="F443" s="4" t="s">
        <v>10</v>
      </c>
      <c r="G443" s="4" t="s">
        <v>11</v>
      </c>
      <c r="H443" s="7" t="str">
        <f>HYPERLINK("http://apps.fcc.gov/ecfs/document/view?id=7520944408","  (2 pages)")</f>
        <v>  (2 pages)</v>
      </c>
    </row>
    <row r="444" spans="1:8" ht="12.75">
      <c r="A444" s="4" t="s">
        <v>6</v>
      </c>
      <c r="B444" s="4" t="s">
        <v>112</v>
      </c>
      <c r="C444" s="4" t="s">
        <v>113</v>
      </c>
      <c r="D444" s="4" t="s">
        <v>21</v>
      </c>
      <c r="E444" s="4" t="s">
        <v>9</v>
      </c>
      <c r="F444" s="4" t="s">
        <v>10</v>
      </c>
      <c r="G444" s="4" t="s">
        <v>11</v>
      </c>
      <c r="H444" s="7" t="str">
        <f>HYPERLINK("http://apps.fcc.gov/ecfs/document/view?id=7520944074","NACEPF Comments (15 pages)")</f>
        <v>NACEPF Comments (15 pages)</v>
      </c>
    </row>
    <row r="445" spans="1:10" ht="12.75">
      <c r="A445" s="4" t="s">
        <v>6</v>
      </c>
      <c r="B445" s="4" t="s">
        <v>566</v>
      </c>
      <c r="C445" s="4" t="s">
        <v>8</v>
      </c>
      <c r="D445" s="4" t="s">
        <v>524</v>
      </c>
      <c r="E445" s="4" t="s">
        <v>524</v>
      </c>
      <c r="F445" s="4" t="s">
        <v>10</v>
      </c>
      <c r="G445" s="4" t="s">
        <v>11</v>
      </c>
      <c r="H445" s="7" t="str">
        <f>HYPERLINK("http://apps.fcc.gov/ecfs/document/view?id=7520943062","  (1 page)")</f>
        <v>  (1 page)</v>
      </c>
      <c r="I445" s="7"/>
      <c r="J445" s="7"/>
    </row>
    <row r="446" spans="1:8" ht="12.75">
      <c r="A446" s="4" t="s">
        <v>6</v>
      </c>
      <c r="B446" s="4" t="s">
        <v>1000</v>
      </c>
      <c r="C446" s="4" t="s">
        <v>198</v>
      </c>
      <c r="D446" s="4" t="s">
        <v>21</v>
      </c>
      <c r="E446" s="4" t="s">
        <v>9</v>
      </c>
      <c r="F446" s="4" t="s">
        <v>10</v>
      </c>
      <c r="G446" s="4" t="s">
        <v>11</v>
      </c>
      <c r="H446" s="7" t="str">
        <f>HYPERLINK("http://apps.fcc.gov/ecfs/document/view?id=7520943943","  (1 page)")</f>
        <v>  (1 page)</v>
      </c>
    </row>
    <row r="447" spans="1:8" ht="12.75">
      <c r="A447" s="4" t="s">
        <v>6</v>
      </c>
      <c r="B447" s="4" t="s">
        <v>878</v>
      </c>
      <c r="C447" s="4" t="s">
        <v>8</v>
      </c>
      <c r="D447" s="4" t="s">
        <v>21</v>
      </c>
      <c r="E447" s="4" t="s">
        <v>21</v>
      </c>
      <c r="F447" s="4" t="s">
        <v>10</v>
      </c>
      <c r="G447" s="4" t="s">
        <v>11</v>
      </c>
      <c r="H447" s="7" t="str">
        <f>HYPERLINK("http://apps.fcc.gov/ecfs/document/view?id=7520943837","  (1 page)")</f>
        <v>  (1 page)</v>
      </c>
    </row>
    <row r="448" spans="1:8" ht="12.75">
      <c r="A448" s="4" t="s">
        <v>6</v>
      </c>
      <c r="B448" s="4" t="s">
        <v>352</v>
      </c>
      <c r="C448" s="4" t="s">
        <v>8</v>
      </c>
      <c r="D448" s="4" t="s">
        <v>21</v>
      </c>
      <c r="E448" s="4" t="s">
        <v>21</v>
      </c>
      <c r="F448" s="4" t="s">
        <v>10</v>
      </c>
      <c r="G448" s="4" t="s">
        <v>11</v>
      </c>
      <c r="H448" s="7" t="str">
        <f>HYPERLINK("http://apps.fcc.gov/ecfs/document/view?id=7520943672","Initial Comments from NASUCA Re IMO Modernizing E rate Program WC Docket 13 184 (14 pages)")</f>
        <v>Initial Comments from NASUCA Re IMO Modernizing E rate Program WC Docket 13 184 (14 pages)</v>
      </c>
    </row>
    <row r="449" spans="1:12" ht="12.75">
      <c r="A449" t="s">
        <v>6</v>
      </c>
      <c r="B449" s="4" t="s">
        <v>1130</v>
      </c>
      <c r="C449" t="s">
        <v>8</v>
      </c>
      <c r="D449" t="s">
        <v>1070</v>
      </c>
      <c r="E449" t="s">
        <v>1109</v>
      </c>
      <c r="F449" t="s">
        <v>10</v>
      </c>
      <c r="G449" t="s">
        <v>11</v>
      </c>
      <c r="H449" s="1" t="str">
        <f>HYPERLINK("http://apps.fcc.gov/ecfs/document/view?id=7520944454","  (1 page)")</f>
        <v>  (1 page)</v>
      </c>
      <c r="I449"/>
      <c r="J449"/>
      <c r="K449"/>
      <c r="L449"/>
    </row>
    <row r="450" spans="1:8" ht="12.75">
      <c r="A450" s="4" t="s">
        <v>6</v>
      </c>
      <c r="B450" s="4" t="s">
        <v>109</v>
      </c>
      <c r="C450" s="4" t="s">
        <v>8</v>
      </c>
      <c r="D450" s="4" t="s">
        <v>21</v>
      </c>
      <c r="E450" s="4" t="s">
        <v>9</v>
      </c>
      <c r="F450" s="4" t="s">
        <v>10</v>
      </c>
      <c r="G450" s="4" t="s">
        <v>11</v>
      </c>
      <c r="H450" s="7" t="str">
        <f>HYPERLINK("http://apps.fcc.gov/ecfs/document/view?id=7520943897","  (1 page)")</f>
        <v>  (1 page)</v>
      </c>
    </row>
    <row r="451" spans="1:8" ht="12.75">
      <c r="A451" s="4" t="s">
        <v>6</v>
      </c>
      <c r="B451" s="4" t="s">
        <v>1072</v>
      </c>
      <c r="C451" s="4" t="s">
        <v>1071</v>
      </c>
      <c r="D451" s="4" t="s">
        <v>21</v>
      </c>
      <c r="E451" s="4" t="s">
        <v>1070</v>
      </c>
      <c r="F451" s="4" t="s">
        <v>10</v>
      </c>
      <c r="G451" s="4" t="s">
        <v>11</v>
      </c>
      <c r="H451" s="7" t="str">
        <f>HYPERLINK("http://apps.fcc.gov/ecfs/document/view?id=7520944423","  (4 pages)")</f>
        <v>  (4 pages)</v>
      </c>
    </row>
    <row r="452" spans="1:8" ht="12.75">
      <c r="A452" s="4" t="s">
        <v>6</v>
      </c>
      <c r="B452" s="4" t="s">
        <v>108</v>
      </c>
      <c r="C452" s="4" t="s">
        <v>8</v>
      </c>
      <c r="D452" s="4" t="s">
        <v>21</v>
      </c>
      <c r="E452" s="4" t="s">
        <v>9</v>
      </c>
      <c r="F452" s="4" t="s">
        <v>10</v>
      </c>
      <c r="G452" s="4" t="s">
        <v>11</v>
      </c>
      <c r="H452" s="7" t="str">
        <f>HYPERLINK("http://apps.fcc.gov/ecfs/document/view?id=7520944078","  (6 pages)")</f>
        <v>  (6 pages)</v>
      </c>
    </row>
    <row r="453" spans="1:8" ht="12.75">
      <c r="A453" s="4" t="s">
        <v>6</v>
      </c>
      <c r="B453" s="4" t="s">
        <v>808</v>
      </c>
      <c r="C453" s="4" t="s">
        <v>154</v>
      </c>
      <c r="D453" s="4" t="s">
        <v>21</v>
      </c>
      <c r="E453" s="4" t="s">
        <v>9</v>
      </c>
      <c r="F453" s="4" t="s">
        <v>10</v>
      </c>
      <c r="G453" s="4" t="s">
        <v>11</v>
      </c>
      <c r="H453" s="7" t="str">
        <f>HYPERLINK("http://apps.fcc.gov/ecfs/document/view?id=7520943959","  (2 pages)")</f>
        <v>  (2 pages)</v>
      </c>
    </row>
    <row r="454" spans="1:8" ht="12.75">
      <c r="A454" s="4" t="s">
        <v>6</v>
      </c>
      <c r="B454" s="4" t="s">
        <v>424</v>
      </c>
      <c r="C454" s="4" t="s">
        <v>8</v>
      </c>
      <c r="D454" s="4" t="s">
        <v>333</v>
      </c>
      <c r="E454" s="4" t="s">
        <v>333</v>
      </c>
      <c r="F454" s="4" t="s">
        <v>10</v>
      </c>
      <c r="G454" s="4" t="s">
        <v>11</v>
      </c>
      <c r="H454" s="7" t="str">
        <f>HYPERLINK("http://apps.fcc.gov/ecfs/document/view?id=7520943285","  (3 pages)")</f>
        <v>  (3 pages)</v>
      </c>
    </row>
    <row r="455" spans="1:8" ht="12.75">
      <c r="A455" s="4" t="s">
        <v>6</v>
      </c>
      <c r="B455" s="4" t="s">
        <v>315</v>
      </c>
      <c r="C455" s="4" t="s">
        <v>8</v>
      </c>
      <c r="D455" s="4" t="s">
        <v>21</v>
      </c>
      <c r="E455" s="4" t="s">
        <v>21</v>
      </c>
      <c r="F455" s="4" t="s">
        <v>10</v>
      </c>
      <c r="G455" s="4" t="s">
        <v>11</v>
      </c>
      <c r="H455" s="7" t="str">
        <f>HYPERLINK("http://apps.fcc.gov/ecfs/document/view?id=7520943755","NASSP Comments on E Rate NPRM (10 pages)")</f>
        <v>NASSP Comments on E Rate NPRM (10 pages)</v>
      </c>
    </row>
    <row r="456" spans="1:8" ht="12.75">
      <c r="A456" s="4" t="s">
        <v>6</v>
      </c>
      <c r="B456" s="4" t="s">
        <v>298</v>
      </c>
      <c r="C456" s="4" t="s">
        <v>299</v>
      </c>
      <c r="D456" s="4" t="s">
        <v>21</v>
      </c>
      <c r="E456" s="4" t="s">
        <v>21</v>
      </c>
      <c r="F456" s="4" t="s">
        <v>10</v>
      </c>
      <c r="G456" s="4" t="s">
        <v>11</v>
      </c>
      <c r="H456" s="7" t="str">
        <f>HYPERLINK("http://apps.fcc.gov/ecfs/document/view?id=7520943807","  (3 pages)")</f>
        <v>  (3 pages)</v>
      </c>
    </row>
    <row r="457" spans="1:8" ht="12.75">
      <c r="A457" s="4" t="s">
        <v>6</v>
      </c>
      <c r="B457" s="4" t="s">
        <v>423</v>
      </c>
      <c r="C457" s="4" t="s">
        <v>8</v>
      </c>
      <c r="D457" s="4" t="s">
        <v>333</v>
      </c>
      <c r="E457" s="4" t="s">
        <v>333</v>
      </c>
      <c r="F457" s="4" t="s">
        <v>10</v>
      </c>
      <c r="G457" s="4" t="s">
        <v>11</v>
      </c>
      <c r="H457" s="7" t="str">
        <f>HYPERLINK("http://apps.fcc.gov/ecfs/document/view?id=7520943382","NASCIO Comments on Docket 13 184 (4 pages)")</f>
        <v>NASCIO Comments on Docket 13 184 (4 pages)</v>
      </c>
    </row>
    <row r="458" spans="1:8" ht="12.75">
      <c r="A458" s="4" t="s">
        <v>6</v>
      </c>
      <c r="B458" s="4" t="s">
        <v>107</v>
      </c>
      <c r="C458" s="4" t="s">
        <v>8</v>
      </c>
      <c r="D458" s="4" t="s">
        <v>21</v>
      </c>
      <c r="E458" s="4" t="s">
        <v>9</v>
      </c>
      <c r="F458" s="4" t="s">
        <v>10</v>
      </c>
      <c r="G458" s="4" t="s">
        <v>11</v>
      </c>
      <c r="H458" s="7" t="str">
        <f>HYPERLINK("http://apps.fcc.gov/ecfs/document/view?id=7520943869","  (20 pages)")</f>
        <v>  (20 pages)</v>
      </c>
    </row>
    <row r="459" spans="1:8" ht="12.75">
      <c r="A459" s="4" t="s">
        <v>6</v>
      </c>
      <c r="B459" s="4" t="s">
        <v>696</v>
      </c>
      <c r="C459" s="4" t="s">
        <v>8</v>
      </c>
      <c r="D459" s="4" t="s">
        <v>685</v>
      </c>
      <c r="E459" s="4" t="s">
        <v>685</v>
      </c>
      <c r="F459" s="4" t="s">
        <v>10</v>
      </c>
      <c r="G459" s="4" t="s">
        <v>11</v>
      </c>
      <c r="H459" s="7" t="str">
        <f>HYPERLINK("http://apps.fcc.gov/ecfs/document/view?id=7520942261","  (3 pages)")</f>
        <v>  (3 pages)</v>
      </c>
    </row>
    <row r="460" spans="1:8" ht="12.75">
      <c r="A460" s="4" t="s">
        <v>6</v>
      </c>
      <c r="B460" s="4" t="s">
        <v>106</v>
      </c>
      <c r="C460" s="4" t="s">
        <v>8</v>
      </c>
      <c r="D460" s="4" t="s">
        <v>21</v>
      </c>
      <c r="E460" s="4" t="s">
        <v>9</v>
      </c>
      <c r="F460" s="4" t="s">
        <v>10</v>
      </c>
      <c r="G460" s="4" t="s">
        <v>11</v>
      </c>
      <c r="H460" s="7" t="str">
        <f>HYPERLINK("http://apps.fcc.gov/ecfs/document/view?id=7520943981","  (15 pages)")</f>
        <v>  (15 pages)</v>
      </c>
    </row>
    <row r="461" spans="1:8" ht="12.75">
      <c r="A461" s="4" t="s">
        <v>6</v>
      </c>
      <c r="B461" s="4" t="s">
        <v>992</v>
      </c>
      <c r="C461" s="4" t="s">
        <v>642</v>
      </c>
      <c r="D461" s="4" t="s">
        <v>598</v>
      </c>
      <c r="E461" s="4" t="s">
        <v>598</v>
      </c>
      <c r="F461" s="4" t="s">
        <v>10</v>
      </c>
      <c r="G461" s="4" t="s">
        <v>11</v>
      </c>
      <c r="H461" s="7" t="str">
        <f>HYPERLINK("http://apps.fcc.gov/ecfs/document/view?id=7520942908"," (1 page)")</f>
        <v> (1 page)</v>
      </c>
    </row>
    <row r="462" spans="1:8" ht="12.75">
      <c r="A462" s="4" t="s">
        <v>6</v>
      </c>
      <c r="B462" s="4" t="s">
        <v>105</v>
      </c>
      <c r="C462" s="4" t="s">
        <v>8</v>
      </c>
      <c r="D462" s="4" t="s">
        <v>21</v>
      </c>
      <c r="E462" s="4" t="s">
        <v>9</v>
      </c>
      <c r="F462" s="4" t="s">
        <v>10</v>
      </c>
      <c r="G462" s="4" t="s">
        <v>11</v>
      </c>
      <c r="H462" s="7" t="str">
        <f>HYPERLINK("http://apps.fcc.gov/ecfs/document/view?id=7520944082","  (5 pages)")</f>
        <v>  (5 pages)</v>
      </c>
    </row>
    <row r="463" spans="1:8" ht="12.75">
      <c r="A463" s="4" t="s">
        <v>6</v>
      </c>
      <c r="B463" s="4" t="s">
        <v>104</v>
      </c>
      <c r="C463" s="4" t="s">
        <v>8</v>
      </c>
      <c r="D463" s="4" t="s">
        <v>21</v>
      </c>
      <c r="E463" s="4" t="s">
        <v>9</v>
      </c>
      <c r="F463" s="4" t="s">
        <v>10</v>
      </c>
      <c r="G463" s="4" t="s">
        <v>11</v>
      </c>
      <c r="H463" s="7" t="str">
        <f>HYPERLINK("http://apps.fcc.gov/ecfs/document/view?id=7520943952","NIEA Comments (4 pages)")</f>
        <v>NIEA Comments (4 pages)</v>
      </c>
    </row>
    <row r="464" spans="1:8" ht="12.75">
      <c r="A464" s="4" t="s">
        <v>6</v>
      </c>
      <c r="B464" s="4" t="s">
        <v>1103</v>
      </c>
      <c r="C464" s="4" t="s">
        <v>117</v>
      </c>
      <c r="D464" s="4" t="s">
        <v>21</v>
      </c>
      <c r="E464" s="4" t="s">
        <v>9</v>
      </c>
      <c r="F464" s="4" t="s">
        <v>10</v>
      </c>
      <c r="G464" s="4" t="s">
        <v>11</v>
      </c>
      <c r="H464" s="7" t="str">
        <f>HYPERLINK("http://apps.fcc.gov/ecfs/document/view?id=7520943918","  (4 pages)")</f>
        <v>  (4 pages)</v>
      </c>
    </row>
    <row r="465" spans="1:8" ht="12.75">
      <c r="A465" s="4" t="s">
        <v>6</v>
      </c>
      <c r="B465" s="4" t="s">
        <v>277</v>
      </c>
      <c r="C465" s="4" t="s">
        <v>8</v>
      </c>
      <c r="D465" s="4" t="s">
        <v>21</v>
      </c>
      <c r="E465" s="4" t="s">
        <v>21</v>
      </c>
      <c r="F465" s="4" t="s">
        <v>10</v>
      </c>
      <c r="G465" s="4" t="s">
        <v>11</v>
      </c>
      <c r="H465" s="7" t="str">
        <f>HYPERLINK("http://apps.fcc.gov/ecfs/document/view?id=7520943850","  (6 pages)")</f>
        <v>  (6 pages)</v>
      </c>
    </row>
    <row r="466" spans="1:8" ht="12.75">
      <c r="A466" s="4" t="s">
        <v>6</v>
      </c>
      <c r="B466" s="4" t="s">
        <v>102</v>
      </c>
      <c r="C466" s="4" t="s">
        <v>103</v>
      </c>
      <c r="D466" s="4" t="s">
        <v>21</v>
      </c>
      <c r="E466" s="4" t="s">
        <v>9</v>
      </c>
      <c r="F466" s="4" t="s">
        <v>10</v>
      </c>
      <c r="G466" s="4" t="s">
        <v>11</v>
      </c>
      <c r="H466" s="7" t="str">
        <f>HYPERLINK("http://apps.fcc.gov/ecfs/document/view?id=7520944056","Comments of NNTRC (29 pages)")</f>
        <v>Comments of NNTRC (29 pages)</v>
      </c>
    </row>
    <row r="467" spans="1:8" ht="12.75">
      <c r="A467" s="4" t="s">
        <v>6</v>
      </c>
      <c r="B467" s="4" t="s">
        <v>646</v>
      </c>
      <c r="C467" s="4" t="s">
        <v>645</v>
      </c>
      <c r="D467" s="4" t="s">
        <v>598</v>
      </c>
      <c r="E467" s="4" t="s">
        <v>598</v>
      </c>
      <c r="F467" s="4" t="s">
        <v>10</v>
      </c>
      <c r="G467" s="4" t="s">
        <v>11</v>
      </c>
      <c r="H467" s="7" t="str">
        <f>HYPERLINK("http://apps.fcc.gov/ecfs/document/view?id=7520942876","Navasota ISD Comment on E Rate NPRM (1 page)")</f>
        <v>Navasota ISD Comment on E Rate NPRM (1 page)</v>
      </c>
    </row>
    <row r="468" spans="1:8" ht="12.75">
      <c r="A468" s="4" t="s">
        <v>6</v>
      </c>
      <c r="B468" s="4" t="s">
        <v>817</v>
      </c>
      <c r="C468" s="4" t="s">
        <v>734</v>
      </c>
      <c r="D468" s="4" t="s">
        <v>728</v>
      </c>
      <c r="E468" s="4" t="s">
        <v>728</v>
      </c>
      <c r="F468" s="4" t="s">
        <v>10</v>
      </c>
      <c r="G468" s="4" t="s">
        <v>11</v>
      </c>
      <c r="H468" s="7" t="str">
        <f>HYPERLINK("http://apps.fcc.gov/ecfs/document/view?id=7520940300","  (1 page)")</f>
        <v>  (1 page)</v>
      </c>
    </row>
    <row r="469" spans="1:8" ht="12.75">
      <c r="A469" s="4" t="s">
        <v>6</v>
      </c>
      <c r="B469" s="4" t="s">
        <v>1043</v>
      </c>
      <c r="C469" s="4" t="s">
        <v>309</v>
      </c>
      <c r="D469" s="4" t="s">
        <v>21</v>
      </c>
      <c r="E469" s="4" t="s">
        <v>21</v>
      </c>
      <c r="F469" s="4" t="s">
        <v>10</v>
      </c>
      <c r="G469" s="4" t="s">
        <v>11</v>
      </c>
      <c r="H469" s="7" t="str">
        <f>HYPERLINK("http://apps.fcc.gov/ecfs/document/view?id=7520943806","NE Colorado NPRM Response in support of its member districts (2 pages)")</f>
        <v>NE Colorado NPRM Response in support of its member districts (2 pages)</v>
      </c>
    </row>
    <row r="470" spans="1:8" ht="12.75">
      <c r="A470" s="4" t="s">
        <v>6</v>
      </c>
      <c r="B470" s="4" t="s">
        <v>101</v>
      </c>
      <c r="C470" s="4" t="s">
        <v>8</v>
      </c>
      <c r="D470" s="4" t="s">
        <v>21</v>
      </c>
      <c r="E470" s="4" t="s">
        <v>9</v>
      </c>
      <c r="F470" s="4" t="s">
        <v>10</v>
      </c>
      <c r="G470" s="4" t="s">
        <v>11</v>
      </c>
      <c r="H470" s="7" t="str">
        <f>HYPERLINK("http://apps.fcc.gov/ecfs/document/view?id=7520943987","  (13 pages)")</f>
        <v>  (13 pages)</v>
      </c>
    </row>
    <row r="471" spans="1:8" ht="12.75">
      <c r="A471" s="4" t="s">
        <v>6</v>
      </c>
      <c r="B471" s="4" t="s">
        <v>852</v>
      </c>
      <c r="C471" s="4" t="s">
        <v>710</v>
      </c>
      <c r="D471" s="4" t="s">
        <v>707</v>
      </c>
      <c r="E471" s="4" t="s">
        <v>707</v>
      </c>
      <c r="F471" s="4" t="s">
        <v>10</v>
      </c>
      <c r="G471" s="4" t="s">
        <v>11</v>
      </c>
      <c r="H471" s="7" t="str">
        <f>HYPERLINK("http://apps.fcc.gov/ecfs/document/view?id=7520941387","  (2 pages)")</f>
        <v>  (2 pages)</v>
      </c>
    </row>
    <row r="472" spans="1:8" ht="12.75">
      <c r="A472" s="4" t="s">
        <v>6</v>
      </c>
      <c r="B472" s="4" t="s">
        <v>888</v>
      </c>
      <c r="C472" s="4" t="s">
        <v>119</v>
      </c>
      <c r="D472" s="4" t="s">
        <v>21</v>
      </c>
      <c r="E472" s="4" t="s">
        <v>9</v>
      </c>
      <c r="F472" s="4" t="s">
        <v>10</v>
      </c>
      <c r="G472" s="4" t="s">
        <v>11</v>
      </c>
      <c r="H472" s="7" t="str">
        <f>HYPERLINK("http://apps.fcc.gov/ecfs/document/view?id=7520944037","  (2 pages)")</f>
        <v>  (2 pages)</v>
      </c>
    </row>
    <row r="473" spans="1:8" ht="12.75">
      <c r="A473" s="4" t="s">
        <v>6</v>
      </c>
      <c r="B473" s="4" t="s">
        <v>100</v>
      </c>
      <c r="C473" s="4" t="s">
        <v>8</v>
      </c>
      <c r="D473" s="4" t="s">
        <v>21</v>
      </c>
      <c r="E473" s="4" t="s">
        <v>9</v>
      </c>
      <c r="F473" s="4" t="s">
        <v>10</v>
      </c>
      <c r="G473" s="4" t="s">
        <v>11</v>
      </c>
      <c r="H473" s="7" t="str">
        <f>HYPERLINK("http://apps.fcc.gov/ecfs/document/view?id=7520944021","  (40 pages)")</f>
        <v>  (40 pages)</v>
      </c>
    </row>
    <row r="474" spans="1:8" ht="12.75">
      <c r="A474" s="4" t="s">
        <v>6</v>
      </c>
      <c r="B474" s="4" t="s">
        <v>845</v>
      </c>
      <c r="C474" s="4" t="s">
        <v>632</v>
      </c>
      <c r="D474" s="4" t="s">
        <v>598</v>
      </c>
      <c r="E474" s="4" t="s">
        <v>598</v>
      </c>
      <c r="F474" s="4" t="s">
        <v>10</v>
      </c>
      <c r="G474" s="4" t="s">
        <v>11</v>
      </c>
      <c r="H474" s="7" t="str">
        <f>HYPERLINK("http://apps.fcc.gov/ecfs/document/view?id=7520942915","New Haven Unified School District Comment on E Rate NPRM (1 page)")</f>
        <v>New Haven Unified School District Comment on E Rate NPRM (1 page)</v>
      </c>
    </row>
    <row r="475" spans="1:8" ht="12.75">
      <c r="A475" s="4" t="s">
        <v>6</v>
      </c>
      <c r="B475" s="4" t="s">
        <v>99</v>
      </c>
      <c r="C475" s="4" t="s">
        <v>8</v>
      </c>
      <c r="D475" s="4" t="s">
        <v>21</v>
      </c>
      <c r="E475" s="4" t="s">
        <v>9</v>
      </c>
      <c r="F475" s="4" t="s">
        <v>10</v>
      </c>
      <c r="G475" s="4" t="s">
        <v>11</v>
      </c>
      <c r="H475" s="7" t="str">
        <f>HYPERLINK("http://apps.fcc.gov/ecfs/document/view?id=7520943972","Reponse to NPRM (5 pages)")</f>
        <v>Reponse to NPRM (5 pages)</v>
      </c>
    </row>
    <row r="476" spans="1:8" ht="12.75">
      <c r="A476" s="4" t="s">
        <v>6</v>
      </c>
      <c r="B476" s="4" t="s">
        <v>1009</v>
      </c>
      <c r="C476" s="4" t="s">
        <v>202</v>
      </c>
      <c r="D476" s="4" t="s">
        <v>9</v>
      </c>
      <c r="E476" s="4" t="s">
        <v>9</v>
      </c>
      <c r="F476" s="4" t="s">
        <v>10</v>
      </c>
      <c r="G476" s="4" t="s">
        <v>11</v>
      </c>
      <c r="H476" s="7" t="str">
        <f>HYPERLINK("http://apps.fcc.gov/ecfs/document/view?id=7520944214","  (1 page)")</f>
        <v>  (1 page)</v>
      </c>
    </row>
    <row r="477" spans="1:8" ht="12.75">
      <c r="A477" s="4" t="s">
        <v>6</v>
      </c>
      <c r="B477" s="4" t="s">
        <v>98</v>
      </c>
      <c r="C477" s="4" t="s">
        <v>8</v>
      </c>
      <c r="D477" s="4" t="s">
        <v>21</v>
      </c>
      <c r="E477" s="4" t="s">
        <v>9</v>
      </c>
      <c r="F477" s="4" t="s">
        <v>10</v>
      </c>
      <c r="G477" s="4" t="s">
        <v>11</v>
      </c>
      <c r="H477" s="7" t="str">
        <f>HYPERLINK("http://apps.fcc.gov/ecfs/document/view?id=7520943878","  (9 pages)")</f>
        <v>  (9 pages)</v>
      </c>
    </row>
    <row r="478" spans="1:8" ht="12.75">
      <c r="A478" s="4" t="s">
        <v>6</v>
      </c>
      <c r="B478" s="4" t="s">
        <v>97</v>
      </c>
      <c r="C478" s="4" t="s">
        <v>8</v>
      </c>
      <c r="D478" s="4" t="s">
        <v>21</v>
      </c>
      <c r="E478" s="4" t="s">
        <v>9</v>
      </c>
      <c r="F478" s="4" t="s">
        <v>10</v>
      </c>
      <c r="G478" s="4" t="s">
        <v>11</v>
      </c>
      <c r="H478" s="7" t="str">
        <f>HYPERLINK("http://apps.fcc.gov/ecfs/document/view?id=7520943982","  (2 pages)")</f>
        <v>  (2 pages)</v>
      </c>
    </row>
    <row r="479" spans="1:8" ht="12.75">
      <c r="A479" s="4" t="s">
        <v>6</v>
      </c>
      <c r="B479" s="4" t="s">
        <v>820</v>
      </c>
      <c r="C479" s="4" t="s">
        <v>34</v>
      </c>
      <c r="D479" s="4" t="s">
        <v>9</v>
      </c>
      <c r="E479" s="4" t="s">
        <v>9</v>
      </c>
      <c r="F479" s="4" t="s">
        <v>10</v>
      </c>
      <c r="G479" s="4" t="s">
        <v>11</v>
      </c>
      <c r="H479" s="7" t="str">
        <f>HYPERLINK("http://apps.fcc.gov/ecfs/document/view?id=7520944232","  (1 page)")</f>
        <v>  (1 page)</v>
      </c>
    </row>
    <row r="480" spans="1:8" ht="12.75">
      <c r="A480" s="4" t="s">
        <v>6</v>
      </c>
      <c r="B480" s="4" t="s">
        <v>422</v>
      </c>
      <c r="C480" s="4" t="s">
        <v>8</v>
      </c>
      <c r="D480" s="4" t="s">
        <v>333</v>
      </c>
      <c r="E480" s="4" t="s">
        <v>333</v>
      </c>
      <c r="F480" s="4" t="s">
        <v>10</v>
      </c>
      <c r="G480" s="4" t="s">
        <v>11</v>
      </c>
      <c r="H480" s="7" t="str">
        <f>HYPERLINK("http://apps.fcc.gov/ecfs/document/view?id=7520943356"," (2 pages)")</f>
        <v> (2 pages)</v>
      </c>
    </row>
    <row r="481" spans="1:9" ht="12.75">
      <c r="A481" s="4" t="s">
        <v>6</v>
      </c>
      <c r="B481" s="4" t="s">
        <v>950</v>
      </c>
      <c r="C481" s="4" t="s">
        <v>577</v>
      </c>
      <c r="D481" s="4" t="s">
        <v>524</v>
      </c>
      <c r="E481" s="4" t="s">
        <v>524</v>
      </c>
      <c r="F481" s="4" t="s">
        <v>10</v>
      </c>
      <c r="G481" s="4" t="s">
        <v>11</v>
      </c>
      <c r="H481" s="7" t="str">
        <f>HYPERLINK("http://apps.fcc.gov/ecfs/document/view?id=7520943089","  (1 page)")</f>
        <v>  (1 page)</v>
      </c>
      <c r="I481" s="7"/>
    </row>
    <row r="482" spans="1:8" ht="12.75">
      <c r="A482" s="4" t="s">
        <v>6</v>
      </c>
      <c r="B482" s="4" t="s">
        <v>688</v>
      </c>
      <c r="C482" s="4" t="s">
        <v>8</v>
      </c>
      <c r="D482" s="4" t="s">
        <v>673</v>
      </c>
      <c r="E482" s="4" t="s">
        <v>673</v>
      </c>
      <c r="F482" s="4" t="s">
        <v>10</v>
      </c>
      <c r="G482" s="4" t="s">
        <v>11</v>
      </c>
      <c r="H482" s="7" t="str">
        <f>HYPERLINK("http://apps.fcc.gov/ecfs/document/view?id=7520942514"," (1 page)")</f>
        <v> (1 page)</v>
      </c>
    </row>
    <row r="483" spans="1:8" ht="12.75">
      <c r="A483" s="4" t="s">
        <v>6</v>
      </c>
      <c r="B483" s="4" t="s">
        <v>767</v>
      </c>
      <c r="C483" s="4" t="s">
        <v>8</v>
      </c>
      <c r="D483" s="4" t="s">
        <v>768</v>
      </c>
      <c r="E483" s="4" t="s">
        <v>764</v>
      </c>
      <c r="F483" s="4" t="s">
        <v>10</v>
      </c>
      <c r="G483" s="4" t="s">
        <v>11</v>
      </c>
      <c r="H483" s="7" t="str">
        <f>HYPERLINK("http://apps.fcc.gov/ecfs/document/view?id=7520938769"," (1 page)")</f>
        <v> (1 page)</v>
      </c>
    </row>
    <row r="484" spans="1:8" ht="12.75">
      <c r="A484" s="4" t="s">
        <v>6</v>
      </c>
      <c r="B484" s="4" t="s">
        <v>507</v>
      </c>
      <c r="D484" s="4" t="s">
        <v>333</v>
      </c>
      <c r="E484" s="4" t="s">
        <v>333</v>
      </c>
      <c r="F484" s="4" t="s">
        <v>10</v>
      </c>
      <c r="G484" s="4" t="s">
        <v>11</v>
      </c>
      <c r="H484" s="7" t="str">
        <f>HYPERLINK("http://apps.fcc.gov/ecfs/document/view?id=7520943259","  (1 page)")</f>
        <v>  (1 page)</v>
      </c>
    </row>
    <row r="485" spans="1:8" ht="12.75">
      <c r="A485" s="4" t="s">
        <v>6</v>
      </c>
      <c r="B485" s="4" t="s">
        <v>726</v>
      </c>
      <c r="D485" s="4" t="s">
        <v>728</v>
      </c>
      <c r="E485" s="4" t="s">
        <v>717</v>
      </c>
      <c r="F485" s="4" t="s">
        <v>10</v>
      </c>
      <c r="G485" s="4" t="s">
        <v>11</v>
      </c>
      <c r="H485" s="7" t="str">
        <f>HYPERLINK("http://apps.fcc.gov/ecfs/document/view?id=7520940400","  (2 pages)")</f>
        <v>  (2 pages)</v>
      </c>
    </row>
    <row r="486" spans="1:8" ht="12.75">
      <c r="A486" s="4" t="s">
        <v>6</v>
      </c>
      <c r="B486" s="4" t="s">
        <v>421</v>
      </c>
      <c r="C486" s="4" t="s">
        <v>8</v>
      </c>
      <c r="D486" s="4" t="s">
        <v>333</v>
      </c>
      <c r="E486" s="4" t="s">
        <v>333</v>
      </c>
      <c r="F486" s="4" t="s">
        <v>10</v>
      </c>
      <c r="G486" s="4" t="s">
        <v>11</v>
      </c>
      <c r="H486" s="7" t="str">
        <f>HYPERLINK("http://apps.fcc.gov/ecfs/document/view?id=7520943392","  (1 page)")</f>
        <v>  (1 page)</v>
      </c>
    </row>
    <row r="487" spans="1:8" ht="12.75">
      <c r="A487" s="4" t="s">
        <v>6</v>
      </c>
      <c r="B487" s="4" t="s">
        <v>848</v>
      </c>
      <c r="C487" s="4" t="s">
        <v>752</v>
      </c>
      <c r="D487" s="4" t="s">
        <v>750</v>
      </c>
      <c r="E487" s="4" t="s">
        <v>750</v>
      </c>
      <c r="F487" s="4" t="s">
        <v>10</v>
      </c>
      <c r="G487" s="4" t="s">
        <v>11</v>
      </c>
      <c r="H487" s="7" t="str">
        <f>HYPERLINK("http://apps.fcc.gov/ecfs/document/view?id=7520940070","  (1 page)")</f>
        <v>  (1 page)</v>
      </c>
    </row>
    <row r="488" spans="1:8" ht="12.75">
      <c r="A488" s="4" t="s">
        <v>6</v>
      </c>
      <c r="B488" s="4" t="s">
        <v>910</v>
      </c>
      <c r="C488" s="4" t="s">
        <v>134</v>
      </c>
      <c r="D488" s="4" t="s">
        <v>9</v>
      </c>
      <c r="E488" s="4" t="s">
        <v>9</v>
      </c>
      <c r="F488" s="4" t="s">
        <v>10</v>
      </c>
      <c r="G488" s="4" t="s">
        <v>11</v>
      </c>
      <c r="H488" s="7" t="str">
        <f>HYPERLINK("http://apps.fcc.gov/ecfs/document/view?id=7520944160","  (2 pages)")</f>
        <v>  (2 pages)</v>
      </c>
    </row>
    <row r="489" spans="1:8" ht="12.75">
      <c r="A489" s="4" t="s">
        <v>6</v>
      </c>
      <c r="B489" s="4" t="s">
        <v>702</v>
      </c>
      <c r="C489" s="4" t="s">
        <v>8</v>
      </c>
      <c r="D489" s="4" t="s">
        <v>701</v>
      </c>
      <c r="E489" s="4" t="s">
        <v>685</v>
      </c>
      <c r="F489" s="4" t="s">
        <v>10</v>
      </c>
      <c r="G489" s="4" t="s">
        <v>11</v>
      </c>
      <c r="H489" s="7" t="str">
        <f>HYPERLINK("http://apps.fcc.gov/ecfs/document/view?id=7520942200","  (1 page)")</f>
        <v>  (1 page)</v>
      </c>
    </row>
    <row r="490" spans="1:8" ht="12.75">
      <c r="A490" s="4" t="s">
        <v>6</v>
      </c>
      <c r="B490" s="4" t="s">
        <v>841</v>
      </c>
      <c r="C490" s="4" t="s">
        <v>399</v>
      </c>
      <c r="D490" s="4" t="s">
        <v>333</v>
      </c>
      <c r="E490" s="4" t="s">
        <v>333</v>
      </c>
      <c r="F490" s="4" t="s">
        <v>10</v>
      </c>
      <c r="G490" s="4" t="s">
        <v>11</v>
      </c>
      <c r="H490" s="7" t="str">
        <f>HYPERLINK("http://apps.fcc.gov/ecfs/document/view?id=7520943318","  (1 page)")</f>
        <v>  (1 page)</v>
      </c>
    </row>
    <row r="491" spans="1:12" ht="12.75">
      <c r="A491" t="s">
        <v>6</v>
      </c>
      <c r="B491" s="4" t="s">
        <v>1147</v>
      </c>
      <c r="C491" t="s">
        <v>1116</v>
      </c>
      <c r="D491" t="s">
        <v>1109</v>
      </c>
      <c r="E491" t="s">
        <v>1109</v>
      </c>
      <c r="F491" t="s">
        <v>10</v>
      </c>
      <c r="G491" t="s">
        <v>11</v>
      </c>
      <c r="H491" s="1" t="str">
        <f>HYPERLINK("http://apps.fcc.gov/ecfs/document/view?id=7520944719","  (1 page)")</f>
        <v>  (1 page)</v>
      </c>
      <c r="I491"/>
      <c r="J491"/>
      <c r="K491"/>
      <c r="L491"/>
    </row>
    <row r="492" spans="1:8" ht="12.75">
      <c r="A492" s="4" t="s">
        <v>6</v>
      </c>
      <c r="B492" s="4" t="s">
        <v>111</v>
      </c>
      <c r="C492" s="4" t="s">
        <v>8</v>
      </c>
      <c r="D492" s="4" t="s">
        <v>21</v>
      </c>
      <c r="E492" s="4" t="s">
        <v>9</v>
      </c>
      <c r="F492" s="4" t="s">
        <v>10</v>
      </c>
      <c r="G492" s="4" t="s">
        <v>11</v>
      </c>
      <c r="H492" s="7" t="str">
        <f>HYPERLINK("http://apps.fcc.gov/ecfs/document/view?id=7520943876","  (29 pages)")</f>
        <v>  (29 pages)</v>
      </c>
    </row>
    <row r="493" spans="1:8" ht="12.75">
      <c r="A493" s="4" t="s">
        <v>6</v>
      </c>
      <c r="B493" s="4" t="s">
        <v>350</v>
      </c>
      <c r="C493" s="4" t="s">
        <v>8</v>
      </c>
      <c r="D493" s="4" t="s">
        <v>21</v>
      </c>
      <c r="E493" s="4" t="s">
        <v>21</v>
      </c>
      <c r="F493" s="4" t="s">
        <v>10</v>
      </c>
      <c r="G493" s="4" t="s">
        <v>11</v>
      </c>
      <c r="H493" s="7" t="str">
        <f>HYPERLINK("http://apps.fcc.gov/ecfs/document/view?id=7520943685","Comments from the Office of Educational Technology at the New Hampshire Departme (2 pages)")</f>
        <v>Comments from the Office of Educational Technology at the New Hampshire Departme (2 pages)</v>
      </c>
    </row>
    <row r="494" spans="1:8" ht="12.75">
      <c r="A494" s="4" t="s">
        <v>6</v>
      </c>
      <c r="B494" s="4" t="s">
        <v>96</v>
      </c>
      <c r="C494" s="4" t="s">
        <v>8</v>
      </c>
      <c r="D494" s="4" t="s">
        <v>21</v>
      </c>
      <c r="E494" s="4" t="s">
        <v>9</v>
      </c>
      <c r="F494" s="4" t="s">
        <v>10</v>
      </c>
      <c r="G494" s="4" t="s">
        <v>11</v>
      </c>
      <c r="H494" s="7" t="str">
        <f>HYPERLINK("http://apps.fcc.gov/ecfs/document/view?id=7520943949","  (4 pages)")</f>
        <v>  (4 pages)</v>
      </c>
    </row>
    <row r="495" spans="1:8" ht="12.75">
      <c r="A495" s="4" t="s">
        <v>6</v>
      </c>
      <c r="B495" s="4" t="s">
        <v>1057</v>
      </c>
      <c r="C495" s="4" t="s">
        <v>129</v>
      </c>
      <c r="D495" s="4" t="s">
        <v>21</v>
      </c>
      <c r="E495" s="4" t="s">
        <v>9</v>
      </c>
      <c r="F495" s="4" t="s">
        <v>10</v>
      </c>
      <c r="G495" s="4" t="s">
        <v>11</v>
      </c>
      <c r="H495" s="7" t="str">
        <f>HYPERLINK("http://apps.fcc.gov/ecfs/document/view?id=7520943906","  (3 pages)")</f>
        <v>  (3 pages)</v>
      </c>
    </row>
    <row r="496" spans="1:8" ht="12.75">
      <c r="A496" s="4" t="s">
        <v>6</v>
      </c>
      <c r="B496" s="4" t="s">
        <v>1056</v>
      </c>
      <c r="C496" s="4" t="s">
        <v>242</v>
      </c>
      <c r="D496" s="4" t="s">
        <v>21</v>
      </c>
      <c r="E496" s="4" t="s">
        <v>9</v>
      </c>
      <c r="F496" s="4" t="s">
        <v>10</v>
      </c>
      <c r="G496" s="4" t="s">
        <v>11</v>
      </c>
      <c r="H496" s="7" t="str">
        <f>HYPERLINK("http://apps.fcc.gov/ecfs/document/view?id=7520944128","  (2 pages)")</f>
        <v>  (2 pages)</v>
      </c>
    </row>
    <row r="497" spans="1:8" ht="12.75">
      <c r="A497" s="4" t="s">
        <v>6</v>
      </c>
      <c r="B497" s="4" t="s">
        <v>1058</v>
      </c>
      <c r="C497" s="4" t="s">
        <v>629</v>
      </c>
      <c r="D497" s="4" t="s">
        <v>598</v>
      </c>
      <c r="E497" s="4" t="s">
        <v>524</v>
      </c>
      <c r="F497" s="4" t="s">
        <v>10</v>
      </c>
      <c r="G497" s="4" t="s">
        <v>11</v>
      </c>
      <c r="H497" s="7" t="str">
        <f>HYPERLINK("http://apps.fcc.gov/ecfs/document/view?id=7520942973","  (1 page)")</f>
        <v>  (1 page)</v>
      </c>
    </row>
    <row r="498" spans="1:8" ht="12.75">
      <c r="A498" s="4" t="s">
        <v>6</v>
      </c>
      <c r="B498" s="4" t="s">
        <v>1094</v>
      </c>
      <c r="C498" s="4" t="s">
        <v>1088</v>
      </c>
      <c r="D498" s="4" t="s">
        <v>9</v>
      </c>
      <c r="E498" s="4" t="s">
        <v>1070</v>
      </c>
      <c r="F498" s="4" t="s">
        <v>10</v>
      </c>
      <c r="G498" s="4" t="s">
        <v>11</v>
      </c>
      <c r="H498" s="7" t="str">
        <f>HYPERLINK("http://apps.fcc.gov/ecfs/document/view?id=7520944348","  (2 pages)")</f>
        <v>  (2 pages)</v>
      </c>
    </row>
    <row r="499" spans="1:8" ht="12.75">
      <c r="A499" s="4" t="s">
        <v>6</v>
      </c>
      <c r="B499" s="4" t="s">
        <v>999</v>
      </c>
      <c r="C499" s="4" t="s">
        <v>721</v>
      </c>
      <c r="D499" s="4" t="s">
        <v>717</v>
      </c>
      <c r="E499" s="4" t="s">
        <v>707</v>
      </c>
      <c r="F499" s="4" t="s">
        <v>10</v>
      </c>
      <c r="G499" s="4" t="s">
        <v>11</v>
      </c>
      <c r="H499" s="7" t="str">
        <f>HYPERLINK("http://apps.fcc.gov/ecfs/document/view?id=7520940497","  (1 page)")</f>
        <v>  (1 page)</v>
      </c>
    </row>
    <row r="500" spans="1:10" ht="12.75">
      <c r="A500" s="4" t="s">
        <v>6</v>
      </c>
      <c r="B500" s="4" t="s">
        <v>880</v>
      </c>
      <c r="C500" s="4" t="s">
        <v>927</v>
      </c>
      <c r="D500" s="4" t="s">
        <v>524</v>
      </c>
      <c r="E500" s="4" t="s">
        <v>524</v>
      </c>
      <c r="F500" s="4" t="s">
        <v>10</v>
      </c>
      <c r="G500" s="4" t="s">
        <v>11</v>
      </c>
      <c r="H500" s="7" t="str">
        <f>HYPERLINK("http://apps.fcc.gov/ecfs/document/view?id=7520943014","  (1 page)")</f>
        <v>  (1 page)</v>
      </c>
      <c r="I500" s="7" t="str">
        <f>HYPERLINK("http://apps.fcc.gov/ecfs/document/view?id=7520942923","Brillant Erate Letter (1 page)")</f>
        <v>Brillant Erate Letter (1 page)</v>
      </c>
      <c r="J500" s="7" t="str">
        <f>HYPERLINK("http://apps.fcc.gov/ecfs/document/view?id=7520942878","Custom Description sample ___ District School Comment on E Rate NPRM  (1 page)")</f>
        <v>Custom Description sample ___ District School Comment on E Rate NPRM  (1 page)</v>
      </c>
    </row>
    <row r="501" spans="1:8" ht="12.75">
      <c r="A501" s="4" t="s">
        <v>6</v>
      </c>
      <c r="B501" s="4" t="s">
        <v>985</v>
      </c>
      <c r="C501" s="4" t="s">
        <v>621</v>
      </c>
      <c r="D501" s="4" t="s">
        <v>598</v>
      </c>
      <c r="E501" s="4" t="s">
        <v>524</v>
      </c>
      <c r="F501" s="4" t="s">
        <v>10</v>
      </c>
      <c r="G501" s="4" t="s">
        <v>11</v>
      </c>
      <c r="H501" s="7" t="str">
        <f>HYPERLINK("http://apps.fcc.gov/ecfs/document/view?id=7520942956","  (1 page)")</f>
        <v>  (1 page)</v>
      </c>
    </row>
    <row r="502" spans="1:9" ht="12.75">
      <c r="A502" s="4" t="s">
        <v>6</v>
      </c>
      <c r="B502" s="4" t="s">
        <v>1059</v>
      </c>
      <c r="C502" s="4" t="s">
        <v>331</v>
      </c>
      <c r="D502" s="4" t="s">
        <v>333</v>
      </c>
      <c r="E502" s="4" t="s">
        <v>21</v>
      </c>
      <c r="F502" s="4" t="s">
        <v>10</v>
      </c>
      <c r="G502" s="4" t="s">
        <v>11</v>
      </c>
      <c r="H502" s="7" t="str">
        <f>HYPERLINK("http://apps.fcc.gov/ecfs/document/view?id=7520943497","  (1 page)")</f>
        <v>  (1 page)</v>
      </c>
      <c r="I502" s="7" t="str">
        <f>HYPERLINK("http://apps.fcc.gov/ecfs/document/view?id=7520942737","  (1 page)")</f>
        <v>  (1 page)</v>
      </c>
    </row>
    <row r="503" spans="1:8" ht="12.75">
      <c r="A503" s="4" t="s">
        <v>6</v>
      </c>
      <c r="B503" s="4" t="s">
        <v>420</v>
      </c>
      <c r="C503" s="4" t="s">
        <v>8</v>
      </c>
      <c r="D503" s="4" t="s">
        <v>333</v>
      </c>
      <c r="E503" s="4" t="s">
        <v>333</v>
      </c>
      <c r="F503" s="4" t="s">
        <v>10</v>
      </c>
      <c r="G503" s="4" t="s">
        <v>11</v>
      </c>
      <c r="H503" s="7" t="str">
        <f>HYPERLINK("http://apps.fcc.gov/ecfs/document/view?id=7520943388","  (1 page)")</f>
        <v>  (1 page)</v>
      </c>
    </row>
    <row r="504" spans="1:8" ht="12.75">
      <c r="A504" s="4" t="s">
        <v>6</v>
      </c>
      <c r="B504" s="4" t="s">
        <v>297</v>
      </c>
      <c r="C504" s="4" t="s">
        <v>8</v>
      </c>
      <c r="D504" s="4" t="s">
        <v>21</v>
      </c>
      <c r="E504" s="4" t="s">
        <v>21</v>
      </c>
      <c r="F504" s="4" t="s">
        <v>10</v>
      </c>
      <c r="G504" s="4" t="s">
        <v>11</v>
      </c>
      <c r="H504" s="7" t="str">
        <f>HYPERLINK("http://apps.fcc.gov/ecfs/document/view?id=7520943804","  (5 pages)")</f>
        <v>  (5 pages)</v>
      </c>
    </row>
    <row r="505" spans="1:8" ht="12.75">
      <c r="A505" s="4" t="s">
        <v>6</v>
      </c>
      <c r="B505" s="4" t="s">
        <v>296</v>
      </c>
      <c r="C505" s="4" t="s">
        <v>8</v>
      </c>
      <c r="D505" s="4" t="s">
        <v>21</v>
      </c>
      <c r="E505" s="4" t="s">
        <v>21</v>
      </c>
      <c r="F505" s="4" t="s">
        <v>10</v>
      </c>
      <c r="G505" s="4" t="s">
        <v>11</v>
      </c>
      <c r="H505" s="7" t="str">
        <f>HYPERLINK("http://apps.fcc.gov/ecfs/document/view?id=7520943803","  (2 pages)")</f>
        <v>  (2 pages)</v>
      </c>
    </row>
    <row r="506" spans="1:9" ht="12.75">
      <c r="A506" s="4" t="s">
        <v>6</v>
      </c>
      <c r="B506" s="4" t="s">
        <v>814</v>
      </c>
      <c r="C506" s="4" t="s">
        <v>8</v>
      </c>
      <c r="D506" s="4" t="s">
        <v>707</v>
      </c>
      <c r="E506" s="4" t="s">
        <v>701</v>
      </c>
      <c r="F506" s="4" t="s">
        <v>10</v>
      </c>
      <c r="G506" s="4" t="s">
        <v>11</v>
      </c>
      <c r="H506" s="7" t="str">
        <f>HYPERLINK("http://apps.fcc.gov/ecfs/document/view?id=7520941568","  (2 pages)")</f>
        <v>  (2 pages)</v>
      </c>
      <c r="I506" s="7"/>
    </row>
    <row r="507" spans="1:12" ht="12.75">
      <c r="A507" t="s">
        <v>6</v>
      </c>
      <c r="B507" s="4" t="s">
        <v>1112</v>
      </c>
      <c r="C507" t="s">
        <v>8</v>
      </c>
      <c r="D507" t="s">
        <v>1109</v>
      </c>
      <c r="E507" t="s">
        <v>1109</v>
      </c>
      <c r="F507" t="s">
        <v>10</v>
      </c>
      <c r="G507" t="s">
        <v>11</v>
      </c>
      <c r="H507" s="1" t="str">
        <f>HYPERLINK("http://apps.fcc.gov/ecfs/document/view?id=7520944708","  (1 page)")</f>
        <v>  (1 page)</v>
      </c>
      <c r="I507"/>
      <c r="J507"/>
      <c r="K507"/>
      <c r="L507"/>
    </row>
    <row r="508" spans="1:8" ht="12.75">
      <c r="A508" s="4" t="s">
        <v>6</v>
      </c>
      <c r="B508" s="4" t="s">
        <v>349</v>
      </c>
      <c r="C508" s="4" t="s">
        <v>8</v>
      </c>
      <c r="D508" s="4" t="s">
        <v>21</v>
      </c>
      <c r="E508" s="4" t="s">
        <v>21</v>
      </c>
      <c r="F508" s="4" t="s">
        <v>10</v>
      </c>
      <c r="G508" s="4" t="s">
        <v>11</v>
      </c>
      <c r="H508" s="7" t="str">
        <f>HYPERLINK("http://apps.fcc.gov/ecfs/document/view?id=7520943624","Vermont EPSCoR WC 13 184 Comment (3 pages)")</f>
        <v>Vermont EPSCoR WC 13 184 Comment (3 pages)</v>
      </c>
    </row>
    <row r="509" spans="1:8" ht="12.75">
      <c r="A509" s="4" t="s">
        <v>6</v>
      </c>
      <c r="B509" s="4" t="s">
        <v>419</v>
      </c>
      <c r="C509" s="4" t="s">
        <v>8</v>
      </c>
      <c r="D509" s="4" t="s">
        <v>333</v>
      </c>
      <c r="E509" s="4" t="s">
        <v>333</v>
      </c>
      <c r="F509" s="4" t="s">
        <v>10</v>
      </c>
      <c r="G509" s="4" t="s">
        <v>11</v>
      </c>
      <c r="H509" s="7" t="str">
        <f>HYPERLINK("http://apps.fcc.gov/ecfs/document/view?id=7520943379","  (1 page)")</f>
        <v>  (1 page)</v>
      </c>
    </row>
    <row r="510" spans="1:8" ht="12.75">
      <c r="A510" s="4" t="s">
        <v>6</v>
      </c>
      <c r="B510" s="4" t="s">
        <v>94</v>
      </c>
      <c r="C510" s="4" t="s">
        <v>8</v>
      </c>
      <c r="D510" s="4" t="s">
        <v>21</v>
      </c>
      <c r="E510" s="4" t="s">
        <v>9</v>
      </c>
      <c r="F510" s="4" t="s">
        <v>10</v>
      </c>
      <c r="G510" s="4" t="s">
        <v>11</v>
      </c>
      <c r="H510" s="7" t="str">
        <f>HYPERLINK("http://apps.fcc.gov/ecfs/document/view?id=7520944133","  (10 pages)")</f>
        <v>  (10 pages)</v>
      </c>
    </row>
    <row r="511" spans="1:8" ht="12.75">
      <c r="A511" s="4" t="s">
        <v>6</v>
      </c>
      <c r="B511" s="4" t="s">
        <v>959</v>
      </c>
      <c r="C511" s="4" t="s">
        <v>283</v>
      </c>
      <c r="D511" s="4" t="s">
        <v>21</v>
      </c>
      <c r="E511" s="4" t="s">
        <v>21</v>
      </c>
      <c r="F511" s="4" t="s">
        <v>10</v>
      </c>
      <c r="G511" s="4" t="s">
        <v>11</v>
      </c>
      <c r="H511" s="7" t="str">
        <f>HYPERLINK("http://apps.fcc.gov/ecfs/document/view?id=7520943861","Comments from Peekskill City School District (1 page)")</f>
        <v>Comments from Peekskill City School District (1 page)</v>
      </c>
    </row>
    <row r="512" spans="1:8" ht="12.75">
      <c r="A512" s="4" t="s">
        <v>6</v>
      </c>
      <c r="B512" s="4" t="s">
        <v>506</v>
      </c>
      <c r="C512" s="4" t="s">
        <v>8</v>
      </c>
      <c r="D512" s="4" t="s">
        <v>333</v>
      </c>
      <c r="E512" s="4" t="s">
        <v>333</v>
      </c>
      <c r="F512" s="4" t="s">
        <v>10</v>
      </c>
      <c r="G512" s="4" t="s">
        <v>11</v>
      </c>
      <c r="H512" s="7" t="str">
        <f>HYPERLINK("http://apps.fcc.gov/ecfs/document/view?id=7520943268","E Rate Comments (2 pages)")</f>
        <v>E Rate Comments (2 pages)</v>
      </c>
    </row>
    <row r="513" spans="1:8" ht="12.75">
      <c r="A513" s="4" t="s">
        <v>6</v>
      </c>
      <c r="B513" s="4" t="s">
        <v>875</v>
      </c>
      <c r="C513" s="4" t="s">
        <v>8</v>
      </c>
      <c r="D513" s="4" t="s">
        <v>21</v>
      </c>
      <c r="E513" s="4" t="s">
        <v>9</v>
      </c>
      <c r="F513" s="4" t="s">
        <v>10</v>
      </c>
      <c r="G513" s="4" t="s">
        <v>11</v>
      </c>
      <c r="H513" s="7" t="str">
        <f>HYPERLINK("http://apps.fcc.gov/ecfs/document/view?id=7520944048","  (14 pages)")</f>
        <v>  (14 pages)</v>
      </c>
    </row>
    <row r="514" spans="1:8" ht="12.75">
      <c r="A514" s="4" t="s">
        <v>6</v>
      </c>
      <c r="B514" s="4" t="s">
        <v>943</v>
      </c>
      <c r="C514" s="4" t="s">
        <v>729</v>
      </c>
      <c r="D514" s="4" t="s">
        <v>717</v>
      </c>
      <c r="E514" s="4" t="s">
        <v>717</v>
      </c>
      <c r="F514" s="4" t="s">
        <v>10</v>
      </c>
      <c r="G514" s="4" t="s">
        <v>11</v>
      </c>
      <c r="H514" s="7" t="str">
        <f>HYPERLINK("http://apps.fcc.gov/ecfs/document/view?id=7520940441","NPRM E Rate (2 pages)")</f>
        <v>NPRM E Rate (2 pages)</v>
      </c>
    </row>
    <row r="515" spans="1:8" ht="12.75">
      <c r="A515" s="4" t="s">
        <v>6</v>
      </c>
      <c r="B515" s="4" t="s">
        <v>418</v>
      </c>
      <c r="C515" s="4" t="s">
        <v>8</v>
      </c>
      <c r="D515" s="4" t="s">
        <v>333</v>
      </c>
      <c r="E515" s="4" t="s">
        <v>333</v>
      </c>
      <c r="F515" s="4" t="s">
        <v>10</v>
      </c>
      <c r="G515" s="4" t="s">
        <v>11</v>
      </c>
      <c r="H515" s="7" t="str">
        <f>HYPERLINK("http://apps.fcc.gov/ecfs/document/view?id=7520943335","  (1 page)")</f>
        <v>  (1 page)</v>
      </c>
    </row>
    <row r="516" spans="1:9" ht="12.75">
      <c r="A516" s="4" t="s">
        <v>6</v>
      </c>
      <c r="B516" s="4" t="s">
        <v>417</v>
      </c>
      <c r="C516" s="4" t="s">
        <v>8</v>
      </c>
      <c r="D516" s="4" t="s">
        <v>333</v>
      </c>
      <c r="E516" s="4" t="s">
        <v>333</v>
      </c>
      <c r="F516" s="4" t="s">
        <v>10</v>
      </c>
      <c r="G516" s="4" t="s">
        <v>11</v>
      </c>
      <c r="H516" s="7" t="str">
        <f>HYPERLINK("http://apps.fcc.gov/ecfs/document/view?id=7520943404","  (1 page)")</f>
        <v>  (1 page)</v>
      </c>
      <c r="I516" s="7"/>
    </row>
    <row r="517" spans="1:8" ht="12.75">
      <c r="A517" s="4" t="s">
        <v>6</v>
      </c>
      <c r="B517" s="4" t="s">
        <v>957</v>
      </c>
      <c r="C517" s="4" t="s">
        <v>708</v>
      </c>
      <c r="D517" s="4" t="s">
        <v>707</v>
      </c>
      <c r="E517" s="4" t="s">
        <v>701</v>
      </c>
      <c r="F517" s="4" t="s">
        <v>10</v>
      </c>
      <c r="G517" s="4" t="s">
        <v>11</v>
      </c>
      <c r="H517" s="7" t="str">
        <f>HYPERLINK("http://apps.fcc.gov/ecfs/document/view?id=7520941677","  (2 pages)")</f>
        <v>  (2 pages)</v>
      </c>
    </row>
    <row r="518" spans="1:8" ht="12.75">
      <c r="A518" s="4" t="s">
        <v>6</v>
      </c>
      <c r="B518" s="4" t="s">
        <v>91</v>
      </c>
      <c r="C518" s="4" t="s">
        <v>8</v>
      </c>
      <c r="D518" s="4" t="s">
        <v>21</v>
      </c>
      <c r="E518" s="4" t="s">
        <v>9</v>
      </c>
      <c r="F518" s="4" t="s">
        <v>10</v>
      </c>
      <c r="G518" s="4" t="s">
        <v>11</v>
      </c>
      <c r="H518" s="7" t="str">
        <f>HYPERLINK("http://apps.fcc.gov/ecfs/document/view?id=7520944083","  (27 pages)")</f>
        <v>  (27 pages)</v>
      </c>
    </row>
    <row r="519" spans="1:8" ht="12.75">
      <c r="A519" s="4" t="s">
        <v>6</v>
      </c>
      <c r="B519" s="4" t="s">
        <v>276</v>
      </c>
      <c r="C519" s="4" t="s">
        <v>8</v>
      </c>
      <c r="D519" s="4" t="s">
        <v>21</v>
      </c>
      <c r="E519" s="4" t="s">
        <v>21</v>
      </c>
      <c r="F519" s="4" t="s">
        <v>10</v>
      </c>
      <c r="G519" s="4" t="s">
        <v>11</v>
      </c>
      <c r="H519" s="7" t="str">
        <f>HYPERLINK("http://apps.fcc.gov/ecfs/document/view?id=7520943863","  (1 page)")</f>
        <v>  (1 page)</v>
      </c>
    </row>
    <row r="520" spans="1:8" ht="12.75">
      <c r="A520" s="4" t="s">
        <v>6</v>
      </c>
      <c r="B520" s="4" t="s">
        <v>846</v>
      </c>
      <c r="C520" s="4" t="s">
        <v>401</v>
      </c>
      <c r="D520" s="4" t="s">
        <v>333</v>
      </c>
      <c r="E520" s="4" t="s">
        <v>333</v>
      </c>
      <c r="F520" s="4" t="s">
        <v>10</v>
      </c>
      <c r="G520" s="4" t="s">
        <v>11</v>
      </c>
      <c r="H520" s="7" t="str">
        <f>HYPERLINK("http://apps.fcc.gov/ecfs/document/view?id=7520943411","  (1 page)")</f>
        <v>  (1 page)</v>
      </c>
    </row>
    <row r="521" spans="1:8" ht="12.75">
      <c r="A521" s="4" t="s">
        <v>6</v>
      </c>
      <c r="B521" s="4" t="s">
        <v>930</v>
      </c>
      <c r="C521" s="4" t="s">
        <v>749</v>
      </c>
      <c r="D521" s="4" t="s">
        <v>750</v>
      </c>
      <c r="E521" s="4" t="s">
        <v>738</v>
      </c>
      <c r="F521" s="4" t="s">
        <v>10</v>
      </c>
      <c r="G521" s="4" t="s">
        <v>11</v>
      </c>
      <c r="H521" s="7" t="str">
        <f>HYPERLINK("http://apps.fcc.gov/ecfs/document/view?id=7520940107"," (2 pages)")</f>
        <v> (2 pages)</v>
      </c>
    </row>
    <row r="522" spans="1:8" ht="12.75">
      <c r="A522" s="4" t="s">
        <v>6</v>
      </c>
      <c r="B522" s="4" t="s">
        <v>879</v>
      </c>
      <c r="C522" s="4" t="s">
        <v>508</v>
      </c>
      <c r="D522" s="4" t="s">
        <v>333</v>
      </c>
      <c r="E522" s="4" t="s">
        <v>333</v>
      </c>
      <c r="F522" s="4" t="s">
        <v>10</v>
      </c>
      <c r="G522" s="4" t="s">
        <v>11</v>
      </c>
      <c r="H522" s="7" t="str">
        <f>HYPERLINK("http://apps.fcc.gov/ecfs/document/view?id=7520943260","  (1 page)")</f>
        <v>  (1 page)</v>
      </c>
    </row>
    <row r="523" spans="1:8" ht="12.75">
      <c r="A523" s="4" t="s">
        <v>6</v>
      </c>
      <c r="B523" s="4" t="s">
        <v>970</v>
      </c>
      <c r="C523" s="4" t="s">
        <v>464</v>
      </c>
      <c r="D523" s="4" t="s">
        <v>333</v>
      </c>
      <c r="E523" s="4" t="s">
        <v>333</v>
      </c>
      <c r="F523" s="4" t="s">
        <v>10</v>
      </c>
      <c r="G523" s="4" t="s">
        <v>11</v>
      </c>
      <c r="H523" s="7" t="str">
        <f>HYPERLINK("http://apps.fcc.gov/ecfs/document/view?id=7520943337","  (2 pages)")</f>
        <v>  (2 pages)</v>
      </c>
    </row>
    <row r="524" spans="1:8" ht="12.75">
      <c r="A524" s="4" t="s">
        <v>6</v>
      </c>
      <c r="B524" s="4" t="s">
        <v>1006</v>
      </c>
      <c r="C524" s="4" t="s">
        <v>201</v>
      </c>
      <c r="D524" s="4" t="s">
        <v>21</v>
      </c>
      <c r="E524" s="4" t="s">
        <v>9</v>
      </c>
      <c r="F524" s="4" t="s">
        <v>10</v>
      </c>
      <c r="G524" s="4" t="s">
        <v>11</v>
      </c>
      <c r="H524" s="7" t="str">
        <f>HYPERLINK("http://apps.fcc.gov/ecfs/document/view?id=7520944127","  (1 page)")</f>
        <v>  (1 page)</v>
      </c>
    </row>
    <row r="525" spans="1:8" ht="12.75">
      <c r="A525" s="4" t="s">
        <v>6</v>
      </c>
      <c r="B525" s="4" t="s">
        <v>839</v>
      </c>
      <c r="C525" s="4" t="s">
        <v>398</v>
      </c>
      <c r="D525" s="4" t="s">
        <v>333</v>
      </c>
      <c r="E525" s="4" t="s">
        <v>333</v>
      </c>
      <c r="F525" s="4" t="s">
        <v>10</v>
      </c>
      <c r="G525" s="4" t="s">
        <v>11</v>
      </c>
      <c r="H525" s="7" t="str">
        <f>HYPERLINK("http://apps.fcc.gov/ecfs/document/view?id=7520943296","  (1 page)")</f>
        <v>  (1 page)</v>
      </c>
    </row>
    <row r="526" spans="1:8" ht="12.75">
      <c r="A526" s="4" t="s">
        <v>6</v>
      </c>
      <c r="B526" s="4" t="s">
        <v>1037</v>
      </c>
      <c r="C526" s="4" t="s">
        <v>497</v>
      </c>
      <c r="D526" s="4" t="s">
        <v>333</v>
      </c>
      <c r="E526" s="4" t="s">
        <v>333</v>
      </c>
      <c r="F526" s="4" t="s">
        <v>10</v>
      </c>
      <c r="G526" s="4" t="s">
        <v>11</v>
      </c>
      <c r="H526" s="7" t="str">
        <f>HYPERLINK("http://apps.fcc.gov/ecfs/document/view?id=7520943299","  (1 page)")</f>
        <v>  (1 page)</v>
      </c>
    </row>
    <row r="527" spans="1:8" ht="12.75">
      <c r="A527" s="4" t="s">
        <v>6</v>
      </c>
      <c r="B527" s="4" t="s">
        <v>564</v>
      </c>
      <c r="C527" s="4" t="s">
        <v>8</v>
      </c>
      <c r="D527" s="4" t="s">
        <v>524</v>
      </c>
      <c r="E527" s="4" t="s">
        <v>524</v>
      </c>
      <c r="F527" s="4" t="s">
        <v>10</v>
      </c>
      <c r="G527" s="4" t="s">
        <v>11</v>
      </c>
      <c r="H527" s="7" t="str">
        <f>HYPERLINK("http://apps.fcc.gov/ecfs/document/view?id=7520943100","  (2 pages)")</f>
        <v>  (2 pages)</v>
      </c>
    </row>
    <row r="528" spans="1:8" ht="12.75">
      <c r="A528" s="4" t="s">
        <v>6</v>
      </c>
      <c r="B528" s="4" t="s">
        <v>295</v>
      </c>
      <c r="C528" s="4" t="s">
        <v>8</v>
      </c>
      <c r="D528" s="4" t="s">
        <v>21</v>
      </c>
      <c r="E528" s="4" t="s">
        <v>21</v>
      </c>
      <c r="F528" s="4" t="s">
        <v>10</v>
      </c>
      <c r="G528" s="4" t="s">
        <v>11</v>
      </c>
      <c r="H528" s="7" t="str">
        <f>HYPERLINK("http://apps.fcc.gov/ecfs/document/view?id=7520943799","  (2 pages)")</f>
        <v>  (2 pages)</v>
      </c>
    </row>
    <row r="529" spans="1:8" ht="12.75">
      <c r="A529" s="4" t="s">
        <v>6</v>
      </c>
      <c r="B529" s="4" t="s">
        <v>89</v>
      </c>
      <c r="C529" s="4" t="s">
        <v>8</v>
      </c>
      <c r="D529" s="4" t="s">
        <v>21</v>
      </c>
      <c r="E529" s="4" t="s">
        <v>9</v>
      </c>
      <c r="F529" s="4" t="s">
        <v>10</v>
      </c>
      <c r="G529" s="4" t="s">
        <v>11</v>
      </c>
      <c r="H529" s="7" t="str">
        <f>HYPERLINK("http://apps.fcc.gov/ecfs/document/view?id=7520943916","Project Tomorrow Comments on E Rate Proceeding (7 pages)")</f>
        <v>Project Tomorrow Comments on E Rate Proceeding (7 pages)</v>
      </c>
    </row>
    <row r="530" spans="1:8" ht="12.75">
      <c r="A530" s="4" t="s">
        <v>6</v>
      </c>
      <c r="B530" s="4" t="s">
        <v>88</v>
      </c>
      <c r="C530" s="4" t="s">
        <v>8</v>
      </c>
      <c r="D530" s="4" t="s">
        <v>21</v>
      </c>
      <c r="E530" s="4" t="s">
        <v>9</v>
      </c>
      <c r="F530" s="4" t="s">
        <v>10</v>
      </c>
      <c r="G530" s="4" t="s">
        <v>11</v>
      </c>
      <c r="H530" s="7" t="str">
        <f>HYPERLINK("http://apps.fcc.gov/ecfs/document/view?id=7520944099","  (3 pages)")</f>
        <v>  (3 pages)</v>
      </c>
    </row>
    <row r="531" spans="1:8" ht="12.75">
      <c r="A531" s="4" t="s">
        <v>6</v>
      </c>
      <c r="B531" s="4" t="s">
        <v>552</v>
      </c>
      <c r="C531" s="4" t="s">
        <v>8</v>
      </c>
      <c r="D531" s="4" t="s">
        <v>553</v>
      </c>
      <c r="E531" s="4" t="s">
        <v>333</v>
      </c>
      <c r="F531" s="4" t="s">
        <v>10</v>
      </c>
      <c r="G531" s="4" t="s">
        <v>11</v>
      </c>
      <c r="H531" s="7" t="str">
        <f>HYPERLINK("http://apps.fcc.gov/ecfs/document/view?id=7520943235","  (1 page)")</f>
        <v>  (1 page)</v>
      </c>
    </row>
    <row r="532" spans="1:8" ht="12.75">
      <c r="A532" s="4" t="s">
        <v>6</v>
      </c>
      <c r="B532" s="4" t="s">
        <v>969</v>
      </c>
      <c r="C532" s="4" t="s">
        <v>664</v>
      </c>
      <c r="D532" s="4" t="s">
        <v>553</v>
      </c>
      <c r="E532" s="4" t="s">
        <v>652</v>
      </c>
      <c r="F532" s="4" t="s">
        <v>10</v>
      </c>
      <c r="G532" s="4" t="s">
        <v>11</v>
      </c>
      <c r="H532" s="7" t="str">
        <f>HYPERLINK("http://apps.fcc.gov/ecfs/document/view?id=7520942716","E Rate comment (1 page)")</f>
        <v>E Rate comment (1 page)</v>
      </c>
    </row>
    <row r="533" spans="1:8" ht="12.75">
      <c r="A533" s="4" t="s">
        <v>6</v>
      </c>
      <c r="B533" s="4" t="s">
        <v>87</v>
      </c>
      <c r="C533" s="4" t="s">
        <v>8</v>
      </c>
      <c r="D533" s="4" t="s">
        <v>21</v>
      </c>
      <c r="E533" s="4" t="s">
        <v>9</v>
      </c>
      <c r="F533" s="4" t="s">
        <v>10</v>
      </c>
      <c r="G533" s="4" t="s">
        <v>11</v>
      </c>
      <c r="H533" s="7" t="str">
        <f>HYPERLINK("http://apps.fcc.gov/ecfs/document/view?id=7520943983","  (20 pages)")</f>
        <v>  (20 pages)</v>
      </c>
    </row>
    <row r="534" spans="1:8" ht="12.75">
      <c r="A534" s="4" t="s">
        <v>6</v>
      </c>
      <c r="B534" s="4" t="s">
        <v>1067</v>
      </c>
      <c r="C534" s="4" t="s">
        <v>271</v>
      </c>
      <c r="D534" s="4" t="s">
        <v>21</v>
      </c>
      <c r="E534" s="4" t="s">
        <v>21</v>
      </c>
      <c r="F534" s="4" t="s">
        <v>10</v>
      </c>
      <c r="G534" s="4" t="s">
        <v>11</v>
      </c>
      <c r="H534" s="7" t="str">
        <f>HYPERLINK("http://apps.fcc.gov/ecfs/document/view?id=7520943839","  (16 pages)")</f>
        <v>  (16 pages)</v>
      </c>
    </row>
    <row r="535" spans="1:8" ht="12.75">
      <c r="A535" s="4" t="s">
        <v>6</v>
      </c>
      <c r="B535" s="4" t="s">
        <v>860</v>
      </c>
      <c r="C535" s="4" t="s">
        <v>505</v>
      </c>
      <c r="D535" s="4" t="s">
        <v>333</v>
      </c>
      <c r="E535" s="4" t="s">
        <v>333</v>
      </c>
      <c r="F535" s="4" t="s">
        <v>10</v>
      </c>
      <c r="G535" s="4" t="s">
        <v>11</v>
      </c>
      <c r="H535" s="7" t="str">
        <f>HYPERLINK("http://apps.fcc.gov/ecfs/document/view?id=7520943272","  (1 page)")</f>
        <v>  (1 page)</v>
      </c>
    </row>
    <row r="536" spans="1:8" ht="12.75">
      <c r="A536" s="4" t="s">
        <v>6</v>
      </c>
      <c r="B536" s="4" t="s">
        <v>348</v>
      </c>
      <c r="C536" s="4" t="s">
        <v>8</v>
      </c>
      <c r="D536" s="4" t="s">
        <v>333</v>
      </c>
      <c r="E536" s="4" t="s">
        <v>21</v>
      </c>
      <c r="F536" s="4" t="s">
        <v>10</v>
      </c>
      <c r="G536" s="4" t="s">
        <v>11</v>
      </c>
      <c r="H536" s="7" t="str">
        <f>HYPERLINK("http://apps.fcc.gov/ecfs/document/view?id=7520943465","  (1 page)")</f>
        <v>  (1 page)</v>
      </c>
    </row>
    <row r="537" spans="1:9" ht="12.75">
      <c r="A537" s="4" t="s">
        <v>6</v>
      </c>
      <c r="B537" s="4" t="s">
        <v>1060</v>
      </c>
      <c r="C537" s="4" t="s">
        <v>1157</v>
      </c>
      <c r="D537" s="4" t="s">
        <v>333</v>
      </c>
      <c r="E537" s="4" t="s">
        <v>333</v>
      </c>
      <c r="F537" s="4" t="s">
        <v>10</v>
      </c>
      <c r="G537" s="4" t="s">
        <v>11</v>
      </c>
      <c r="H537" s="7" t="str">
        <f>HYPERLINK("http://apps.fcc.gov/ecfs/document/view?id=7520943376","RCBOE FCC Comment (2 pages)")</f>
        <v>RCBOE FCC Comment (2 pages)</v>
      </c>
      <c r="I537" s="1" t="str">
        <f>HYPERLINK("http://apps.fcc.gov/ecfs/document/view?id=7520944711","  (1 page)")</f>
        <v>  (1 page)</v>
      </c>
    </row>
    <row r="538" spans="1:8" ht="12.75">
      <c r="A538" s="4" t="s">
        <v>6</v>
      </c>
      <c r="B538" s="4" t="s">
        <v>1061</v>
      </c>
      <c r="C538" s="4" t="s">
        <v>110</v>
      </c>
      <c r="D538" s="4" t="s">
        <v>9</v>
      </c>
      <c r="E538" s="4" t="s">
        <v>9</v>
      </c>
      <c r="F538" s="4" t="s">
        <v>10</v>
      </c>
      <c r="G538" s="4" t="s">
        <v>11</v>
      </c>
      <c r="H538" s="7" t="str">
        <f>HYPERLINK("http://apps.fcc.gov/ecfs/document/view?id=7520944225","  (1 page)")</f>
        <v>  (1 page)</v>
      </c>
    </row>
    <row r="539" spans="1:8" ht="12.75">
      <c r="A539" s="4" t="s">
        <v>6</v>
      </c>
      <c r="B539" s="4" t="s">
        <v>1047</v>
      </c>
      <c r="C539" s="4" t="s">
        <v>261</v>
      </c>
      <c r="D539" s="4" t="s">
        <v>21</v>
      </c>
      <c r="E539" s="4" t="s">
        <v>9</v>
      </c>
      <c r="F539" s="4" t="s">
        <v>10</v>
      </c>
      <c r="G539" s="4" t="s">
        <v>11</v>
      </c>
      <c r="H539" s="7" t="str">
        <f>HYPERLINK("http://apps.fcc.gov/ecfs/document/view?id=7520944126","  (2 pages)")</f>
        <v>  (2 pages)</v>
      </c>
    </row>
    <row r="540" spans="1:8" ht="12.75">
      <c r="A540" s="4" t="s">
        <v>6</v>
      </c>
      <c r="B540" s="4" t="s">
        <v>530</v>
      </c>
      <c r="C540" s="4" t="s">
        <v>8</v>
      </c>
      <c r="D540" s="4" t="s">
        <v>524</v>
      </c>
      <c r="E540" s="4" t="s">
        <v>333</v>
      </c>
      <c r="F540" s="4" t="s">
        <v>10</v>
      </c>
      <c r="G540" s="4" t="s">
        <v>11</v>
      </c>
      <c r="H540" s="7" t="str">
        <f>HYPERLINK("http://apps.fcc.gov/ecfs/document/view?id=7520943211"," (1 page)")</f>
        <v> (1 page)</v>
      </c>
    </row>
    <row r="541" spans="1:8" ht="12.75">
      <c r="A541" s="4" t="s">
        <v>6</v>
      </c>
      <c r="B541" s="4" t="s">
        <v>932</v>
      </c>
      <c r="C541" s="4" t="s">
        <v>725</v>
      </c>
      <c r="D541" s="4" t="s">
        <v>717</v>
      </c>
      <c r="E541" s="4" t="s">
        <v>717</v>
      </c>
      <c r="F541" s="4" t="s">
        <v>10</v>
      </c>
      <c r="G541" s="4" t="s">
        <v>11</v>
      </c>
      <c r="H541" s="7" t="str">
        <f>HYPERLINK("http://apps.fcc.gov/ecfs/document/view?id=7520940450","  (2 pages)")</f>
        <v>  (2 pages)</v>
      </c>
    </row>
    <row r="542" spans="1:8" ht="12.75">
      <c r="A542" s="4" t="s">
        <v>6</v>
      </c>
      <c r="B542" s="4" t="s">
        <v>294</v>
      </c>
      <c r="C542" s="4" t="s">
        <v>8</v>
      </c>
      <c r="D542" s="4" t="s">
        <v>21</v>
      </c>
      <c r="E542" s="4" t="s">
        <v>21</v>
      </c>
      <c r="F542" s="4" t="s">
        <v>10</v>
      </c>
      <c r="G542" s="4" t="s">
        <v>11</v>
      </c>
      <c r="H542" s="7" t="str">
        <f>HYPERLINK("http://apps.fcc.gov/ecfs/document/view?id=7520943811","  (2 pages)")</f>
        <v>  (2 pages)</v>
      </c>
    </row>
    <row r="543" spans="1:8" ht="12.75">
      <c r="A543" s="4" t="s">
        <v>6</v>
      </c>
      <c r="B543" s="4" t="s">
        <v>85</v>
      </c>
      <c r="C543" s="4" t="s">
        <v>8</v>
      </c>
      <c r="D543" s="4" t="s">
        <v>9</v>
      </c>
      <c r="E543" s="4" t="s">
        <v>9</v>
      </c>
      <c r="F543" s="4" t="s">
        <v>10</v>
      </c>
      <c r="G543" s="4" t="s">
        <v>11</v>
      </c>
      <c r="H543" s="7" t="str">
        <f>HYPERLINK("http://apps.fcc.gov/ecfs/document/view?id=7520944227","  (1 page)")</f>
        <v>  (1 page)</v>
      </c>
    </row>
    <row r="544" spans="1:12" ht="12.75">
      <c r="A544" t="s">
        <v>6</v>
      </c>
      <c r="B544" s="4" t="s">
        <v>1127</v>
      </c>
      <c r="C544" t="s">
        <v>8</v>
      </c>
      <c r="D544" t="s">
        <v>1070</v>
      </c>
      <c r="E544" t="s">
        <v>1109</v>
      </c>
      <c r="F544" t="s">
        <v>10</v>
      </c>
      <c r="G544" t="s">
        <v>11</v>
      </c>
      <c r="H544" s="1" t="str">
        <f>HYPERLINK("http://apps.fcc.gov/ecfs/document/view?id=7520944466","  (1 page)")</f>
        <v>  (1 page)</v>
      </c>
      <c r="I544"/>
      <c r="J544"/>
      <c r="K544"/>
      <c r="L544"/>
    </row>
    <row r="545" spans="1:8" ht="12.75">
      <c r="A545" s="4" t="s">
        <v>6</v>
      </c>
      <c r="B545" s="4" t="s">
        <v>563</v>
      </c>
      <c r="C545" s="4" t="s">
        <v>8</v>
      </c>
      <c r="D545" s="4" t="s">
        <v>524</v>
      </c>
      <c r="E545" s="4" t="s">
        <v>524</v>
      </c>
      <c r="F545" s="4" t="s">
        <v>10</v>
      </c>
      <c r="G545" s="4" t="s">
        <v>11</v>
      </c>
      <c r="H545" s="7" t="str">
        <f>HYPERLINK("http://apps.fcc.gov/ecfs/document/view?id=7520943082","  (1 page)")</f>
        <v>  (1 page)</v>
      </c>
    </row>
    <row r="546" spans="1:8" ht="12.75">
      <c r="A546" s="4" t="s">
        <v>6</v>
      </c>
      <c r="B546" s="4" t="s">
        <v>864</v>
      </c>
      <c r="C546" s="4" t="s">
        <v>8</v>
      </c>
      <c r="D546" s="4" t="s">
        <v>21</v>
      </c>
      <c r="E546" s="4" t="s">
        <v>9</v>
      </c>
      <c r="F546" s="4" t="s">
        <v>10</v>
      </c>
      <c r="G546" s="4" t="s">
        <v>11</v>
      </c>
      <c r="H546" s="7" t="str">
        <f>HYPERLINK("http://apps.fcc.gov/ecfs/document/view?id=7520943992"," (1 page)")</f>
        <v> (1 page)</v>
      </c>
    </row>
    <row r="547" spans="1:8" ht="12.75">
      <c r="A547" s="4" t="s">
        <v>6</v>
      </c>
      <c r="B547" s="4" t="s">
        <v>347</v>
      </c>
      <c r="C547" s="4" t="s">
        <v>8</v>
      </c>
      <c r="D547" s="4" t="s">
        <v>21</v>
      </c>
      <c r="E547" s="4" t="s">
        <v>21</v>
      </c>
      <c r="F547" s="4" t="s">
        <v>10</v>
      </c>
      <c r="G547" s="4" t="s">
        <v>11</v>
      </c>
      <c r="H547" s="7" t="str">
        <f>HYPERLINK("http://apps.fcc.gov/ecfs/document/view?id=7520943665"," (1 page)")</f>
        <v> (1 page)</v>
      </c>
    </row>
    <row r="548" spans="1:8" ht="12.75">
      <c r="A548" s="4" t="s">
        <v>6</v>
      </c>
      <c r="B548" s="4" t="s">
        <v>414</v>
      </c>
      <c r="C548" s="4" t="s">
        <v>8</v>
      </c>
      <c r="D548" s="4" t="s">
        <v>333</v>
      </c>
      <c r="E548" s="4" t="s">
        <v>333</v>
      </c>
      <c r="F548" s="4" t="s">
        <v>10</v>
      </c>
      <c r="G548" s="4" t="s">
        <v>11</v>
      </c>
      <c r="H548" s="7" t="str">
        <f>HYPERLINK("http://apps.fcc.gov/ecfs/document/view?id=7520943322","  (1 page)")</f>
        <v>  (1 page)</v>
      </c>
    </row>
    <row r="549" spans="1:8" ht="12.75">
      <c r="A549" s="4" t="s">
        <v>6</v>
      </c>
      <c r="B549" s="4" t="s">
        <v>854</v>
      </c>
      <c r="C549" s="4" t="s">
        <v>602</v>
      </c>
      <c r="D549" s="4" t="s">
        <v>524</v>
      </c>
      <c r="E549" s="4" t="s">
        <v>524</v>
      </c>
      <c r="F549" s="4" t="s">
        <v>10</v>
      </c>
      <c r="G549" s="4" t="s">
        <v>11</v>
      </c>
      <c r="H549" s="7" t="str">
        <f>HYPERLINK("http://apps.fcc.gov/ecfs/document/view?id=7520943015","  (1 page)")</f>
        <v>  (1 page)</v>
      </c>
    </row>
    <row r="550" spans="1:8" ht="12.75">
      <c r="A550" s="4" t="s">
        <v>6</v>
      </c>
      <c r="B550" s="4" t="s">
        <v>275</v>
      </c>
      <c r="C550" s="4" t="s">
        <v>8</v>
      </c>
      <c r="D550" s="4" t="s">
        <v>21</v>
      </c>
      <c r="E550" s="4" t="s">
        <v>21</v>
      </c>
      <c r="F550" s="4" t="s">
        <v>10</v>
      </c>
      <c r="G550" s="4" t="s">
        <v>11</v>
      </c>
      <c r="H550" s="7" t="str">
        <f>HYPERLINK("http://apps.fcc.gov/ecfs/document/view?id=7520943852","NPRM Comments (5 pages)")</f>
        <v>NPRM Comments (5 pages)</v>
      </c>
    </row>
    <row r="551" spans="1:8" ht="12.75">
      <c r="A551" s="4" t="s">
        <v>6</v>
      </c>
      <c r="B551" s="4" t="s">
        <v>562</v>
      </c>
      <c r="C551" s="4" t="s">
        <v>8</v>
      </c>
      <c r="D551" s="4" t="s">
        <v>524</v>
      </c>
      <c r="E551" s="4" t="s">
        <v>524</v>
      </c>
      <c r="F551" s="4" t="s">
        <v>10</v>
      </c>
      <c r="G551" s="4" t="s">
        <v>11</v>
      </c>
      <c r="H551" s="7" t="str">
        <f>HYPERLINK("http://apps.fcc.gov/ecfs/document/view?id=7520943055","  (1 page)")</f>
        <v>  (1 page)</v>
      </c>
    </row>
    <row r="552" spans="1:8" ht="12.75">
      <c r="A552" s="4" t="s">
        <v>6</v>
      </c>
      <c r="B552" s="4" t="s">
        <v>274</v>
      </c>
      <c r="C552" s="4" t="s">
        <v>8</v>
      </c>
      <c r="D552" s="4" t="s">
        <v>21</v>
      </c>
      <c r="E552" s="4" t="s">
        <v>21</v>
      </c>
      <c r="F552" s="4" t="s">
        <v>10</v>
      </c>
      <c r="G552" s="4" t="s">
        <v>11</v>
      </c>
      <c r="H552" s="7" t="str">
        <f>HYPERLINK("http://apps.fcc.gov/ecfs/document/view?id=7520943856","  (1 page)")</f>
        <v>  (1 page)</v>
      </c>
    </row>
    <row r="553" spans="1:8" ht="12.75">
      <c r="A553" s="4" t="s">
        <v>6</v>
      </c>
      <c r="B553" s="4" t="s">
        <v>1062</v>
      </c>
      <c r="C553" s="4" t="s">
        <v>50</v>
      </c>
      <c r="D553" s="4" t="s">
        <v>21</v>
      </c>
      <c r="E553" s="4" t="s">
        <v>9</v>
      </c>
      <c r="F553" s="4" t="s">
        <v>10</v>
      </c>
      <c r="G553" s="4" t="s">
        <v>11</v>
      </c>
      <c r="H553" s="7" t="str">
        <f>HYPERLINK("http://apps.fcc.gov/ecfs/document/view?id=7520944125","  (2 pages)")</f>
        <v>  (2 pages)</v>
      </c>
    </row>
    <row r="554" spans="1:8" ht="12.75">
      <c r="A554" s="4" t="s">
        <v>6</v>
      </c>
      <c r="B554" s="4" t="s">
        <v>412</v>
      </c>
      <c r="C554" s="4" t="s">
        <v>8</v>
      </c>
      <c r="D554" s="4" t="s">
        <v>333</v>
      </c>
      <c r="E554" s="4" t="s">
        <v>333</v>
      </c>
      <c r="F554" s="4" t="s">
        <v>10</v>
      </c>
      <c r="G554" s="4" t="s">
        <v>11</v>
      </c>
      <c r="H554" s="7" t="str">
        <f>HYPERLINK("http://apps.fcc.gov/ecfs/document/view?id=7520943319","  (1 page)")</f>
        <v>  (1 page)</v>
      </c>
    </row>
    <row r="555" spans="1:8" ht="12.75">
      <c r="A555" s="4" t="s">
        <v>6</v>
      </c>
      <c r="B555" s="4" t="s">
        <v>346</v>
      </c>
      <c r="C555" s="4" t="s">
        <v>8</v>
      </c>
      <c r="D555" s="4" t="s">
        <v>21</v>
      </c>
      <c r="E555" s="4" t="s">
        <v>21</v>
      </c>
      <c r="F555" s="4" t="s">
        <v>10</v>
      </c>
      <c r="G555" s="4" t="s">
        <v>11</v>
      </c>
      <c r="H555" s="7" t="str">
        <f>HYPERLINK("http://apps.fcc.gov/ecfs/document/view?id=7520943634","  (6 pages)")</f>
        <v>  (6 pages)</v>
      </c>
    </row>
    <row r="556" spans="1:8" ht="12.75">
      <c r="A556" s="4" t="s">
        <v>6</v>
      </c>
      <c r="B556" s="4" t="s">
        <v>866</v>
      </c>
      <c r="C556" s="4" t="s">
        <v>86</v>
      </c>
      <c r="D556" s="4" t="s">
        <v>21</v>
      </c>
      <c r="E556" s="4" t="s">
        <v>9</v>
      </c>
      <c r="F556" s="4" t="s">
        <v>10</v>
      </c>
      <c r="G556" s="4" t="s">
        <v>11</v>
      </c>
      <c r="H556" s="7" t="str">
        <f>HYPERLINK("http://apps.fcc.gov/ecfs/document/view?id=7520944062","  (19 pages)")</f>
        <v>  (19 pages)</v>
      </c>
    </row>
    <row r="557" spans="1:8" ht="12.75">
      <c r="A557" s="4" t="s">
        <v>6</v>
      </c>
      <c r="B557" s="8" t="s">
        <v>991</v>
      </c>
      <c r="C557" s="4" t="s">
        <v>720</v>
      </c>
      <c r="D557" s="4" t="s">
        <v>707</v>
      </c>
      <c r="E557" s="4" t="s">
        <v>707</v>
      </c>
      <c r="F557" s="4" t="s">
        <v>10</v>
      </c>
      <c r="G557" s="4" t="s">
        <v>11</v>
      </c>
      <c r="H557" s="7" t="str">
        <f>HYPERLINK("http://apps.fcc.gov/ecfs/document/view?id=7520940933","  (2 pages)")</f>
        <v>  (2 pages)</v>
      </c>
    </row>
    <row r="558" spans="1:8" ht="12.75">
      <c r="A558" s="4" t="s">
        <v>6</v>
      </c>
      <c r="B558" s="4" t="s">
        <v>345</v>
      </c>
      <c r="C558" s="4" t="s">
        <v>8</v>
      </c>
      <c r="D558" s="4" t="s">
        <v>333</v>
      </c>
      <c r="E558" s="4" t="s">
        <v>21</v>
      </c>
      <c r="F558" s="4" t="s">
        <v>10</v>
      </c>
      <c r="G558" s="4" t="s">
        <v>11</v>
      </c>
      <c r="H558" s="7" t="str">
        <f>HYPERLINK("http://apps.fcc.gov/ecfs/document/view?id=7520943472","  (1 page)")</f>
        <v>  (1 page)</v>
      </c>
    </row>
    <row r="559" spans="1:8" ht="12.75">
      <c r="A559" s="4" t="s">
        <v>6</v>
      </c>
      <c r="B559" s="4" t="s">
        <v>79</v>
      </c>
      <c r="C559" s="4" t="s">
        <v>8</v>
      </c>
      <c r="D559" s="4" t="s">
        <v>9</v>
      </c>
      <c r="E559" s="4" t="s">
        <v>9</v>
      </c>
      <c r="F559" s="4" t="s">
        <v>10</v>
      </c>
      <c r="G559" s="4" t="s">
        <v>11</v>
      </c>
      <c r="H559" s="7" t="str">
        <f>HYPERLINK("http://apps.fcc.gov/ecfs/document/view?id=7520944218","  (1 page)")</f>
        <v>  (1 page)</v>
      </c>
    </row>
    <row r="560" spans="1:9" ht="12.75">
      <c r="A560" s="4" t="s">
        <v>6</v>
      </c>
      <c r="B560" s="4" t="s">
        <v>857</v>
      </c>
      <c r="C560" s="4" t="s">
        <v>8</v>
      </c>
      <c r="D560" s="4" t="s">
        <v>21</v>
      </c>
      <c r="E560" s="4" t="s">
        <v>21</v>
      </c>
      <c r="F560" s="4" t="s">
        <v>10</v>
      </c>
      <c r="G560" s="4" t="s">
        <v>11</v>
      </c>
      <c r="H560" s="7" t="str">
        <f>HYPERLINK("http://apps.fcc.gov/ecfs/document/view?id=7520943564","  (18 pages)")</f>
        <v>  (18 pages)</v>
      </c>
      <c r="I560" s="7" t="str">
        <f>HYPERLINK("http://apps.fcc.gov/ecfs/document/view?id=7520943885","  (13 pages)")</f>
        <v>  (13 pages)</v>
      </c>
    </row>
    <row r="561" spans="1:8" ht="12.75">
      <c r="A561" s="4" t="s">
        <v>6</v>
      </c>
      <c r="B561" s="4" t="s">
        <v>1022</v>
      </c>
      <c r="C561" s="4" t="s">
        <v>489</v>
      </c>
      <c r="D561" s="4" t="s">
        <v>333</v>
      </c>
      <c r="E561" s="4" t="s">
        <v>333</v>
      </c>
      <c r="F561" s="4" t="s">
        <v>10</v>
      </c>
      <c r="G561" s="4" t="s">
        <v>11</v>
      </c>
      <c r="H561" s="7" t="str">
        <f>HYPERLINK("http://apps.fcc.gov/ecfs/document/view?id=7520943420","  (1 page)")</f>
        <v>  (1 page)</v>
      </c>
    </row>
    <row r="562" spans="1:9" ht="12.75">
      <c r="A562" s="4" t="s">
        <v>6</v>
      </c>
      <c r="B562" s="4" t="s">
        <v>853</v>
      </c>
      <c r="C562" s="4" t="s">
        <v>600</v>
      </c>
      <c r="D562" s="4" t="s">
        <v>598</v>
      </c>
      <c r="E562" s="4" t="s">
        <v>524</v>
      </c>
      <c r="F562" s="4" t="s">
        <v>10</v>
      </c>
      <c r="G562" s="4" t="s">
        <v>11</v>
      </c>
      <c r="H562" s="7" t="str">
        <f>HYPERLINK("http://apps.fcc.gov/ecfs/document/view?id=7520943005","Rockdale ISD Comment on E Rate NPRM (1 page)")</f>
        <v>Rockdale ISD Comment on E Rate NPRM (1 page)</v>
      </c>
      <c r="I562" s="7" t="str">
        <f>HYPERLINK("http://apps.fcc.gov/ecfs/document/view?id=7520943323","  (1 page)")</f>
        <v>  (1 page)</v>
      </c>
    </row>
    <row r="563" spans="1:8" ht="12.75">
      <c r="A563" s="4" t="s">
        <v>6</v>
      </c>
      <c r="B563" s="4" t="s">
        <v>1026</v>
      </c>
      <c r="C563" s="4" t="s">
        <v>698</v>
      </c>
      <c r="D563" s="4" t="s">
        <v>685</v>
      </c>
      <c r="E563" s="4" t="s">
        <v>685</v>
      </c>
      <c r="F563" s="4" t="s">
        <v>10</v>
      </c>
      <c r="G563" s="4" t="s">
        <v>11</v>
      </c>
      <c r="H563" s="7" t="str">
        <f>HYPERLINK("http://apps.fcc.gov/ecfs/document/view?id=7520942250","  (2 pages)")</f>
        <v>  (2 pages)</v>
      </c>
    </row>
    <row r="564" spans="1:8" ht="12.75">
      <c r="A564" s="4" t="s">
        <v>6</v>
      </c>
      <c r="B564" s="4" t="s">
        <v>633</v>
      </c>
      <c r="C564" s="4" t="s">
        <v>8</v>
      </c>
      <c r="D564" s="4" t="s">
        <v>598</v>
      </c>
      <c r="E564" s="4" t="s">
        <v>598</v>
      </c>
      <c r="F564" s="4" t="s">
        <v>10</v>
      </c>
      <c r="G564" s="4" t="s">
        <v>11</v>
      </c>
      <c r="H564" s="7" t="str">
        <f>HYPERLINK("http://apps.fcc.gov/ecfs/document/view?id=7520942881","District Comment on E Rate NPRM (1 page)")</f>
        <v>District Comment on E Rate NPRM (1 page)</v>
      </c>
    </row>
    <row r="565" spans="1:8" ht="12.75">
      <c r="A565" s="4" t="s">
        <v>6</v>
      </c>
      <c r="B565" s="4" t="s">
        <v>411</v>
      </c>
      <c r="C565" s="4" t="s">
        <v>8</v>
      </c>
      <c r="D565" s="4" t="s">
        <v>333</v>
      </c>
      <c r="E565" s="4" t="s">
        <v>333</v>
      </c>
      <c r="F565" s="4" t="s">
        <v>10</v>
      </c>
      <c r="G565" s="4" t="s">
        <v>11</v>
      </c>
      <c r="H565" s="7" t="str">
        <f>HYPERLINK("http://apps.fcc.gov/ecfs/document/view?id=7520943423","  (1 page)")</f>
        <v>  (1 page)</v>
      </c>
    </row>
    <row r="566" spans="1:8" ht="12.75">
      <c r="A566" s="4" t="s">
        <v>6</v>
      </c>
      <c r="B566" s="4" t="s">
        <v>273</v>
      </c>
      <c r="C566" s="4" t="s">
        <v>8</v>
      </c>
      <c r="D566" s="4" t="s">
        <v>21</v>
      </c>
      <c r="E566" s="4" t="s">
        <v>21</v>
      </c>
      <c r="F566" s="4" t="s">
        <v>10</v>
      </c>
      <c r="G566" s="4" t="s">
        <v>11</v>
      </c>
      <c r="H566" s="7" t="str">
        <f>HYPERLINK("http://apps.fcc.gov/ecfs/document/view?id=7520943846","  (5 pages)")</f>
        <v>  (5 pages)</v>
      </c>
    </row>
    <row r="567" spans="1:8" ht="12.75">
      <c r="A567" s="4" t="s">
        <v>6</v>
      </c>
      <c r="B567" s="4" t="s">
        <v>408</v>
      </c>
      <c r="C567" s="4" t="s">
        <v>8</v>
      </c>
      <c r="D567" s="4" t="s">
        <v>333</v>
      </c>
      <c r="E567" s="4" t="s">
        <v>333</v>
      </c>
      <c r="F567" s="4" t="s">
        <v>10</v>
      </c>
      <c r="G567" s="4" t="s">
        <v>11</v>
      </c>
      <c r="H567" s="7" t="str">
        <f>HYPERLINK("http://apps.fcc.gov/ecfs/document/view?id=7520943325","  (1 page)")</f>
        <v>  (1 page)</v>
      </c>
    </row>
    <row r="568" spans="1:8" ht="12.75">
      <c r="A568" s="4" t="s">
        <v>6</v>
      </c>
      <c r="B568" s="4" t="s">
        <v>529</v>
      </c>
      <c r="C568" s="4" t="s">
        <v>8</v>
      </c>
      <c r="D568" s="4" t="s">
        <v>524</v>
      </c>
      <c r="E568" s="4" t="s">
        <v>333</v>
      </c>
      <c r="F568" s="4" t="s">
        <v>10</v>
      </c>
      <c r="G568" s="4" t="s">
        <v>11</v>
      </c>
      <c r="H568" s="7" t="str">
        <f>HYPERLINK("http://apps.fcc.gov/ecfs/document/view?id=7520943212","comment on erate NPRM (2 pages)")</f>
        <v>comment on erate NPRM (2 pages)</v>
      </c>
    </row>
    <row r="569" spans="1:8" ht="12.75">
      <c r="A569" s="4" t="s">
        <v>6</v>
      </c>
      <c r="B569" s="4" t="s">
        <v>76</v>
      </c>
      <c r="C569" s="4" t="s">
        <v>8</v>
      </c>
      <c r="D569" s="4" t="s">
        <v>9</v>
      </c>
      <c r="E569" s="4" t="s">
        <v>9</v>
      </c>
      <c r="F569" s="4" t="s">
        <v>10</v>
      </c>
      <c r="G569" s="4" t="s">
        <v>11</v>
      </c>
      <c r="H569" s="7" t="str">
        <f>HYPERLINK("http://apps.fcc.gov/ecfs/document/view?id=7520944213","  (1 page)")</f>
        <v>  (1 page)</v>
      </c>
    </row>
    <row r="570" spans="1:8" ht="12.75">
      <c r="A570" s="4" t="s">
        <v>6</v>
      </c>
      <c r="B570" s="4" t="s">
        <v>976</v>
      </c>
      <c r="C570" s="4" t="s">
        <v>543</v>
      </c>
      <c r="D570" s="4" t="s">
        <v>524</v>
      </c>
      <c r="E570" s="4" t="s">
        <v>333</v>
      </c>
      <c r="F570" s="4" t="s">
        <v>10</v>
      </c>
      <c r="G570" s="4" t="s">
        <v>11</v>
      </c>
      <c r="H570" s="7" t="str">
        <f>HYPERLINK("http://apps.fcc.gov/ecfs/document/view?id=7520943208"," (1 page)")</f>
        <v> (1 page)</v>
      </c>
    </row>
    <row r="571" spans="1:8" ht="12.75">
      <c r="A571" s="4" t="s">
        <v>6</v>
      </c>
      <c r="B571" s="4" t="s">
        <v>855</v>
      </c>
      <c r="C571" s="4" t="s">
        <v>74</v>
      </c>
      <c r="D571" s="4" t="s">
        <v>21</v>
      </c>
      <c r="E571" s="4" t="s">
        <v>9</v>
      </c>
      <c r="F571" s="4" t="s">
        <v>10</v>
      </c>
      <c r="G571" s="4" t="s">
        <v>11</v>
      </c>
      <c r="H571" s="7" t="str">
        <f>HYPERLINK("http://apps.fcc.gov/ecfs/document/view?id=7520943862","  (14 pages)")</f>
        <v>  (14 pages)</v>
      </c>
    </row>
    <row r="572" spans="1:8" ht="12.75">
      <c r="A572" s="4" t="s">
        <v>6</v>
      </c>
      <c r="B572" s="4" t="s">
        <v>1014</v>
      </c>
      <c r="C572" s="4" t="s">
        <v>203</v>
      </c>
      <c r="D572" s="4" t="s">
        <v>9</v>
      </c>
      <c r="E572" s="4" t="s">
        <v>9</v>
      </c>
      <c r="F572" s="4" t="s">
        <v>10</v>
      </c>
      <c r="G572" s="4" t="s">
        <v>11</v>
      </c>
      <c r="H572" s="7" t="str">
        <f>HYPERLINK("http://apps.fcc.gov/ecfs/document/view?id=7520944231","  (1 page)")</f>
        <v>  (1 page)</v>
      </c>
    </row>
    <row r="573" spans="1:8" ht="12.75">
      <c r="A573" s="4" t="s">
        <v>6</v>
      </c>
      <c r="B573" s="4" t="s">
        <v>967</v>
      </c>
      <c r="C573" s="4" t="s">
        <v>172</v>
      </c>
      <c r="D573" s="4" t="s">
        <v>9</v>
      </c>
      <c r="E573" s="4" t="s">
        <v>9</v>
      </c>
      <c r="F573" s="4" t="s">
        <v>10</v>
      </c>
      <c r="G573" s="4" t="s">
        <v>11</v>
      </c>
      <c r="H573" s="7" t="str">
        <f>HYPERLINK("http://apps.fcc.gov/ecfs/document/view?id=7520944256","  (1 page)")</f>
        <v>  (1 page)</v>
      </c>
    </row>
    <row r="574" spans="1:8" ht="12.75">
      <c r="A574" s="4" t="s">
        <v>6</v>
      </c>
      <c r="B574" s="4" t="s">
        <v>972</v>
      </c>
      <c r="C574" s="4" t="s">
        <v>746</v>
      </c>
      <c r="D574" s="4" t="s">
        <v>738</v>
      </c>
      <c r="E574" s="4" t="s">
        <v>738</v>
      </c>
      <c r="F574" s="4" t="s">
        <v>10</v>
      </c>
      <c r="G574" s="4" t="s">
        <v>11</v>
      </c>
      <c r="H574" s="7" t="str">
        <f>HYPERLINK("http://apps.fcc.gov/ecfs/document/view?id=7520940235","  (1 page)")</f>
        <v>  (1 page)</v>
      </c>
    </row>
    <row r="575" spans="1:9" ht="12.75">
      <c r="A575" s="4" t="s">
        <v>6</v>
      </c>
      <c r="B575" s="4" t="s">
        <v>1024</v>
      </c>
      <c r="C575" s="4" t="s">
        <v>490</v>
      </c>
      <c r="D575" s="4" t="s">
        <v>524</v>
      </c>
      <c r="E575" s="4" t="s">
        <v>333</v>
      </c>
      <c r="F575" s="4" t="s">
        <v>10</v>
      </c>
      <c r="G575" s="4" t="s">
        <v>11</v>
      </c>
      <c r="H575" s="7" t="str">
        <f>HYPERLINK("http://apps.fcc.gov/ecfs/document/view?id=7520943162","  (1 page)")</f>
        <v>  (1 page)</v>
      </c>
      <c r="I575" s="7"/>
    </row>
    <row r="576" spans="1:8" ht="12.75">
      <c r="A576" s="4" t="s">
        <v>6</v>
      </c>
      <c r="B576" s="4" t="s">
        <v>407</v>
      </c>
      <c r="C576" s="4" t="s">
        <v>8</v>
      </c>
      <c r="D576" s="4" t="s">
        <v>333</v>
      </c>
      <c r="E576" s="4" t="s">
        <v>333</v>
      </c>
      <c r="F576" s="4" t="s">
        <v>10</v>
      </c>
      <c r="G576" s="4" t="s">
        <v>11</v>
      </c>
      <c r="H576" s="7" t="str">
        <f>HYPERLINK("http://apps.fcc.gov/ecfs/document/view?id=7520943399","  (8 pages)")</f>
        <v>  (8 pages)</v>
      </c>
    </row>
    <row r="577" spans="1:8" ht="12.75">
      <c r="A577" s="4" t="s">
        <v>6</v>
      </c>
      <c r="B577" s="4" t="s">
        <v>72</v>
      </c>
      <c r="C577" s="4" t="s">
        <v>8</v>
      </c>
      <c r="D577" s="4" t="s">
        <v>21</v>
      </c>
      <c r="E577" s="4" t="s">
        <v>9</v>
      </c>
      <c r="F577" s="4" t="s">
        <v>10</v>
      </c>
      <c r="G577" s="4" t="s">
        <v>11</v>
      </c>
      <c r="H577" s="7" t="str">
        <f>HYPERLINK("http://apps.fcc.gov/ecfs/document/view?id=7520944032","  (3 pages)")</f>
        <v>  (3 pages)</v>
      </c>
    </row>
    <row r="578" spans="1:8" ht="12.75">
      <c r="A578" s="4" t="s">
        <v>6</v>
      </c>
      <c r="B578" s="4" t="s">
        <v>71</v>
      </c>
      <c r="C578" s="4" t="s">
        <v>8</v>
      </c>
      <c r="D578" s="4" t="s">
        <v>21</v>
      </c>
      <c r="E578" s="4" t="s">
        <v>9</v>
      </c>
      <c r="F578" s="4" t="s">
        <v>10</v>
      </c>
      <c r="G578" s="4" t="s">
        <v>11</v>
      </c>
      <c r="H578" s="7" t="str">
        <f>HYPERLINK("http://apps.fcc.gov/ecfs/document/view?id=7520944084","NPRM from the San Mateo County Office of Education Superintendent Anne Campbell (2 pages)")</f>
        <v>NPRM from the San Mateo County Office of Education Superintendent Anne Campbell (2 pages)</v>
      </c>
    </row>
    <row r="579" spans="1:8" ht="12.75">
      <c r="A579" s="4" t="s">
        <v>6</v>
      </c>
      <c r="B579" s="4" t="s">
        <v>905</v>
      </c>
      <c r="C579" s="4" t="s">
        <v>723</v>
      </c>
      <c r="D579" s="4" t="s">
        <v>717</v>
      </c>
      <c r="E579" s="4" t="s">
        <v>717</v>
      </c>
      <c r="F579" s="4" t="s">
        <v>10</v>
      </c>
      <c r="G579" s="4" t="s">
        <v>11</v>
      </c>
      <c r="H579" s="7" t="str">
        <f>HYPERLINK("http://apps.fcc.gov/ecfs/document/view?id=7520940473","  (2 pages)")</f>
        <v>  (2 pages)</v>
      </c>
    </row>
    <row r="580" spans="1:8" ht="12.75">
      <c r="A580" s="4" t="s">
        <v>6</v>
      </c>
      <c r="B580" s="4" t="s">
        <v>1063</v>
      </c>
      <c r="C580" s="4" t="s">
        <v>538</v>
      </c>
      <c r="D580" s="4" t="s">
        <v>333</v>
      </c>
      <c r="E580" s="4" t="s">
        <v>333</v>
      </c>
      <c r="F580" s="4" t="s">
        <v>10</v>
      </c>
      <c r="G580" s="4" t="s">
        <v>11</v>
      </c>
      <c r="H580" s="7" t="str">
        <f>HYPERLINK("http://apps.fcc.gov/ecfs/document/view?id=7520943250","  (1 page)")</f>
        <v>  (1 page)</v>
      </c>
    </row>
    <row r="581" spans="1:8" ht="12.75">
      <c r="A581" s="4" t="s">
        <v>6</v>
      </c>
      <c r="B581" s="4" t="s">
        <v>561</v>
      </c>
      <c r="C581" s="4" t="s">
        <v>8</v>
      </c>
      <c r="D581" s="4" t="s">
        <v>524</v>
      </c>
      <c r="E581" s="4" t="s">
        <v>524</v>
      </c>
      <c r="F581" s="4" t="s">
        <v>10</v>
      </c>
      <c r="G581" s="4" t="s">
        <v>11</v>
      </c>
      <c r="H581" s="7" t="str">
        <f>HYPERLINK("http://apps.fcc.gov/ecfs/document/view?id=7520943065","  (1 page)")</f>
        <v>  (1 page)</v>
      </c>
    </row>
    <row r="582" spans="1:8" ht="12.75">
      <c r="A582" s="4" t="s">
        <v>6</v>
      </c>
      <c r="B582" s="4" t="s">
        <v>844</v>
      </c>
      <c r="C582" s="4" t="s">
        <v>400</v>
      </c>
      <c r="D582" s="4" t="s">
        <v>333</v>
      </c>
      <c r="E582" s="4" t="s">
        <v>333</v>
      </c>
      <c r="F582" s="4" t="s">
        <v>10</v>
      </c>
      <c r="G582" s="4" t="s">
        <v>11</v>
      </c>
      <c r="H582" s="7" t="str">
        <f>HYPERLINK("http://apps.fcc.gov/ecfs/document/view?id=7520943415","  (1 page)")</f>
        <v>  (1 page)</v>
      </c>
    </row>
    <row r="583" spans="1:8" ht="12.75">
      <c r="A583" s="4" t="s">
        <v>6</v>
      </c>
      <c r="B583" s="4" t="s">
        <v>70</v>
      </c>
      <c r="C583" s="4" t="s">
        <v>8</v>
      </c>
      <c r="D583" s="4" t="s">
        <v>21</v>
      </c>
      <c r="E583" s="4" t="s">
        <v>9</v>
      </c>
      <c r="F583" s="4" t="s">
        <v>10</v>
      </c>
      <c r="G583" s="4" t="s">
        <v>11</v>
      </c>
      <c r="H583" s="7" t="str">
        <f>HYPERLINK("http://apps.fcc.gov/ecfs/document/view?id=7520944027","  (6 pages)")</f>
        <v>  (6 pages)</v>
      </c>
    </row>
    <row r="584" spans="1:8" ht="12.75">
      <c r="A584" s="4" t="s">
        <v>6</v>
      </c>
      <c r="B584" s="4" t="s">
        <v>69</v>
      </c>
      <c r="C584" s="4" t="s">
        <v>8</v>
      </c>
      <c r="D584" s="4" t="s">
        <v>21</v>
      </c>
      <c r="E584" s="4" t="s">
        <v>9</v>
      </c>
      <c r="F584" s="4" t="s">
        <v>10</v>
      </c>
      <c r="G584" s="4" t="s">
        <v>11</v>
      </c>
      <c r="H584" s="7" t="str">
        <f>HYPERLINK("http://apps.fcc.gov/ecfs/document/view?id=7520944146","  (15 pages)")</f>
        <v>  (15 pages)</v>
      </c>
    </row>
    <row r="585" spans="1:8" ht="12.75">
      <c r="A585" s="4" t="s">
        <v>6</v>
      </c>
      <c r="B585" s="4" t="s">
        <v>67</v>
      </c>
      <c r="C585" s="4" t="s">
        <v>68</v>
      </c>
      <c r="D585" s="4" t="s">
        <v>21</v>
      </c>
      <c r="E585" s="4" t="s">
        <v>9</v>
      </c>
      <c r="F585" s="4" t="s">
        <v>10</v>
      </c>
      <c r="G585" s="4" t="s">
        <v>11</v>
      </c>
      <c r="H585" s="7" t="str">
        <f>HYPERLINK("http://apps.fcc.gov/ecfs/document/view?id=7520944148","  (30 pages)")</f>
        <v>  (30 pages)</v>
      </c>
    </row>
    <row r="586" spans="1:8" ht="12.75">
      <c r="A586" s="4" t="s">
        <v>6</v>
      </c>
      <c r="B586" s="4" t="s">
        <v>504</v>
      </c>
      <c r="C586" s="4" t="s">
        <v>8</v>
      </c>
      <c r="D586" s="4" t="s">
        <v>333</v>
      </c>
      <c r="E586" s="4" t="s">
        <v>333</v>
      </c>
      <c r="F586" s="4" t="s">
        <v>10</v>
      </c>
      <c r="G586" s="4" t="s">
        <v>11</v>
      </c>
      <c r="H586" s="7" t="str">
        <f>HYPERLINK("http://apps.fcc.gov/ecfs/document/view?id=7520943275","  (1 page)")</f>
        <v>  (1 page)</v>
      </c>
    </row>
    <row r="587" spans="1:8" ht="12.75">
      <c r="A587" s="4" t="s">
        <v>6</v>
      </c>
      <c r="B587" s="4" t="s">
        <v>590</v>
      </c>
      <c r="C587" s="4" t="s">
        <v>8</v>
      </c>
      <c r="D587" s="4" t="s">
        <v>524</v>
      </c>
      <c r="E587" s="4" t="s">
        <v>524</v>
      </c>
      <c r="F587" s="4" t="s">
        <v>10</v>
      </c>
      <c r="G587" s="4" t="s">
        <v>11</v>
      </c>
      <c r="H587" s="7" t="str">
        <f>HYPERLINK("http://apps.fcc.gov/ecfs/document/view?id=7520943019","  (3 pages)")</f>
        <v>  (3 pages)</v>
      </c>
    </row>
    <row r="588" spans="1:8" ht="12.75">
      <c r="A588" s="4" t="s">
        <v>6</v>
      </c>
      <c r="B588" s="4" t="s">
        <v>65</v>
      </c>
      <c r="C588" s="4" t="s">
        <v>8</v>
      </c>
      <c r="D588" s="4" t="s">
        <v>9</v>
      </c>
      <c r="E588" s="4" t="s">
        <v>9</v>
      </c>
      <c r="F588" s="4" t="s">
        <v>10</v>
      </c>
      <c r="G588" s="4" t="s">
        <v>11</v>
      </c>
      <c r="H588" s="7" t="str">
        <f>HYPERLINK("http://apps.fcc.gov/ecfs/document/view?id=7520944215","  (1 page)")</f>
        <v>  (1 page)</v>
      </c>
    </row>
    <row r="589" spans="1:8" ht="12.75">
      <c r="A589" s="4" t="s">
        <v>6</v>
      </c>
      <c r="B589" s="4" t="s">
        <v>503</v>
      </c>
      <c r="C589" s="4" t="s">
        <v>8</v>
      </c>
      <c r="D589" s="4" t="s">
        <v>333</v>
      </c>
      <c r="E589" s="4" t="s">
        <v>333</v>
      </c>
      <c r="F589" s="4" t="s">
        <v>10</v>
      </c>
      <c r="G589" s="4" t="s">
        <v>11</v>
      </c>
      <c r="H589" s="7" t="str">
        <f>HYPERLINK("http://apps.fcc.gov/ecfs/document/view?id=7520943265","  (1 page)")</f>
        <v>  (1 page)</v>
      </c>
    </row>
    <row r="590" spans="1:8" ht="12.75">
      <c r="A590" s="4" t="s">
        <v>6</v>
      </c>
      <c r="B590" s="4" t="s">
        <v>344</v>
      </c>
      <c r="C590" s="4" t="s">
        <v>8</v>
      </c>
      <c r="D590" s="4" t="s">
        <v>21</v>
      </c>
      <c r="E590" s="4" t="s">
        <v>21</v>
      </c>
      <c r="F590" s="4" t="s">
        <v>10</v>
      </c>
      <c r="G590" s="4" t="s">
        <v>11</v>
      </c>
      <c r="H590" s="7" t="str">
        <f>HYPERLINK("http://apps.fcc.gov/ecfs/document/view?id=7520943640","  (4 pages)")</f>
        <v>  (4 pages)</v>
      </c>
    </row>
    <row r="591" spans="1:9" ht="12.75">
      <c r="A591" s="4" t="s">
        <v>6</v>
      </c>
      <c r="B591" s="4" t="s">
        <v>819</v>
      </c>
      <c r="C591" s="4" t="s">
        <v>926</v>
      </c>
      <c r="D591" s="4" t="s">
        <v>21</v>
      </c>
      <c r="E591" s="4" t="s">
        <v>9</v>
      </c>
      <c r="F591" s="4" t="s">
        <v>10</v>
      </c>
      <c r="G591" s="4" t="s">
        <v>11</v>
      </c>
      <c r="H591" s="7" t="str">
        <f>HYPERLINK("http://apps.fcc.gov/ecfs/document/view?id=7520943877","  (2 pages)")</f>
        <v>  (2 pages)</v>
      </c>
      <c r="I591" s="7" t="str">
        <f>HYPERLINK("http://apps.fcc.gov/ecfs/document/view?id=7520943875","  (2 pages)")</f>
        <v>  (2 pages)</v>
      </c>
    </row>
    <row r="592" spans="1:8" ht="12.75">
      <c r="A592" s="4" t="s">
        <v>6</v>
      </c>
      <c r="B592" s="4" t="s">
        <v>885</v>
      </c>
      <c r="D592" s="4" t="s">
        <v>21</v>
      </c>
      <c r="E592" s="4" t="s">
        <v>9</v>
      </c>
      <c r="F592" s="4" t="s">
        <v>10</v>
      </c>
      <c r="G592" s="4" t="s">
        <v>11</v>
      </c>
      <c r="H592" s="7" t="str">
        <f>HYPERLINK("http://apps.fcc.gov/ecfs/document/view?id=7520943894","erate comment (1 page)")</f>
        <v>erate comment (1 page)</v>
      </c>
    </row>
    <row r="593" spans="1:8" ht="12.75">
      <c r="A593" s="4" t="s">
        <v>6</v>
      </c>
      <c r="B593" s="4" t="s">
        <v>947</v>
      </c>
      <c r="C593" s="4" t="s">
        <v>697</v>
      </c>
      <c r="D593" s="4" t="s">
        <v>685</v>
      </c>
      <c r="E593" s="4" t="s">
        <v>685</v>
      </c>
      <c r="F593" s="4" t="s">
        <v>10</v>
      </c>
      <c r="G593" s="4" t="s">
        <v>11</v>
      </c>
      <c r="H593" s="7" t="str">
        <f>HYPERLINK("http://apps.fcc.gov/ecfs/document/view?id=7520942249","  (1 page)")</f>
        <v>  (1 page)</v>
      </c>
    </row>
    <row r="594" spans="1:12" ht="12.75">
      <c r="A594" t="s">
        <v>6</v>
      </c>
      <c r="B594" s="4" t="s">
        <v>1111</v>
      </c>
      <c r="C594" t="s">
        <v>8</v>
      </c>
      <c r="D594" t="s">
        <v>1109</v>
      </c>
      <c r="E594" t="s">
        <v>1109</v>
      </c>
      <c r="F594" t="s">
        <v>10</v>
      </c>
      <c r="G594" t="s">
        <v>11</v>
      </c>
      <c r="H594" s="1" t="str">
        <f>HYPERLINK("http://apps.fcc.gov/ecfs/document/view?id=7520944710","  (1 page)")</f>
        <v>  (1 page)</v>
      </c>
      <c r="I594"/>
      <c r="J594"/>
      <c r="K594"/>
      <c r="L594"/>
    </row>
    <row r="595" spans="1:8" ht="12.75">
      <c r="A595" s="4" t="s">
        <v>6</v>
      </c>
      <c r="B595" s="4" t="s">
        <v>838</v>
      </c>
      <c r="C595" s="4" t="s">
        <v>589</v>
      </c>
      <c r="D595" s="4" t="s">
        <v>524</v>
      </c>
      <c r="E595" s="4" t="s">
        <v>524</v>
      </c>
      <c r="F595" s="4" t="s">
        <v>10</v>
      </c>
      <c r="G595" s="4" t="s">
        <v>11</v>
      </c>
      <c r="H595" s="7" t="str">
        <f>HYPERLINK("http://apps.fcc.gov/ecfs/document/view?id=7520943026","  (1 page)")</f>
        <v>  (1 page)</v>
      </c>
    </row>
    <row r="596" spans="1:8" ht="12.75">
      <c r="A596" s="4" t="s">
        <v>6</v>
      </c>
      <c r="B596" s="4" t="s">
        <v>678</v>
      </c>
      <c r="C596" s="4" t="s">
        <v>8</v>
      </c>
      <c r="D596" s="4" t="s">
        <v>673</v>
      </c>
      <c r="E596" s="4" t="s">
        <v>673</v>
      </c>
      <c r="F596" s="4" t="s">
        <v>10</v>
      </c>
      <c r="G596" s="4" t="s">
        <v>11</v>
      </c>
      <c r="H596" s="7" t="str">
        <f>HYPERLINK("http://apps.fcc.gov/ecfs/document/view?id=7520942560"," (1 page)")</f>
        <v> (1 page)</v>
      </c>
    </row>
    <row r="597" spans="1:8" ht="12.75">
      <c r="A597" s="4" t="s">
        <v>6</v>
      </c>
      <c r="B597" s="4" t="s">
        <v>402</v>
      </c>
      <c r="C597" s="4" t="s">
        <v>8</v>
      </c>
      <c r="D597" s="4" t="s">
        <v>333</v>
      </c>
      <c r="E597" s="4" t="s">
        <v>333</v>
      </c>
      <c r="F597" s="4" t="s">
        <v>10</v>
      </c>
      <c r="G597" s="4" t="s">
        <v>11</v>
      </c>
      <c r="H597" s="7" t="str">
        <f>HYPERLINK("http://apps.fcc.gov/ecfs/document/view?id=7520943383","  (1 page)")</f>
        <v>  (1 page)</v>
      </c>
    </row>
    <row r="598" spans="1:8" ht="12.75">
      <c r="A598" s="4" t="s">
        <v>6</v>
      </c>
      <c r="B598" s="4" t="s">
        <v>677</v>
      </c>
      <c r="C598" s="4" t="s">
        <v>8</v>
      </c>
      <c r="D598" s="4" t="s">
        <v>673</v>
      </c>
      <c r="E598" s="4" t="s">
        <v>673</v>
      </c>
      <c r="F598" s="4" t="s">
        <v>10</v>
      </c>
      <c r="G598" s="4" t="s">
        <v>11</v>
      </c>
      <c r="H598" s="7" t="str">
        <f>HYPERLINK("http://apps.fcc.gov/ecfs/document/view?id=7520942558"," (1 page)")</f>
        <v> (1 page)</v>
      </c>
    </row>
    <row r="599" spans="1:8" ht="12.75">
      <c r="A599" s="4" t="s">
        <v>6</v>
      </c>
      <c r="B599" s="4" t="s">
        <v>75</v>
      </c>
      <c r="C599" s="4" t="s">
        <v>8</v>
      </c>
      <c r="D599" s="4" t="s">
        <v>21</v>
      </c>
      <c r="E599" s="4" t="s">
        <v>9</v>
      </c>
      <c r="F599" s="4" t="s">
        <v>10</v>
      </c>
      <c r="G599" s="4" t="s">
        <v>11</v>
      </c>
      <c r="H599" s="7" t="str">
        <f>HYPERLINK("http://apps.fcc.gov/ecfs/document/view?id=7520944111","  (14 pages)")</f>
        <v>  (14 pages)</v>
      </c>
    </row>
    <row r="600" spans="1:8" ht="12.75">
      <c r="A600" s="4" t="s">
        <v>6</v>
      </c>
      <c r="B600" s="4" t="s">
        <v>842</v>
      </c>
      <c r="C600" s="4" t="s">
        <v>272</v>
      </c>
      <c r="D600" s="4" t="s">
        <v>21</v>
      </c>
      <c r="E600" s="4" t="s">
        <v>21</v>
      </c>
      <c r="F600" s="4" t="s">
        <v>10</v>
      </c>
      <c r="G600" s="4" t="s">
        <v>11</v>
      </c>
      <c r="H600" s="7" t="str">
        <f>HYPERLINK("http://apps.fcc.gov/ecfs/document/view?id=7520943853","Sitka School District s comment on E Rate NPRM (3 pages)")</f>
        <v>Sitka School District s comment on E Rate NPRM (3 pages)</v>
      </c>
    </row>
    <row r="601" spans="1:8" ht="12.75">
      <c r="A601" s="4" t="s">
        <v>6</v>
      </c>
      <c r="B601" s="4" t="s">
        <v>62</v>
      </c>
      <c r="C601" s="4" t="s">
        <v>63</v>
      </c>
      <c r="D601" s="4" t="s">
        <v>21</v>
      </c>
      <c r="E601" s="4" t="s">
        <v>9</v>
      </c>
      <c r="F601" s="4" t="s">
        <v>10</v>
      </c>
      <c r="G601" s="4" t="s">
        <v>11</v>
      </c>
      <c r="H601" s="7" t="str">
        <f>HYPERLINK("http://apps.fcc.gov/ecfs/document/view?id=7520943892","  (17 pages)")</f>
        <v>  (17 pages)</v>
      </c>
    </row>
    <row r="602" spans="1:8" ht="12.75">
      <c r="A602" s="4" t="s">
        <v>6</v>
      </c>
      <c r="B602" s="4" t="s">
        <v>1078</v>
      </c>
      <c r="C602" s="4" t="s">
        <v>8</v>
      </c>
      <c r="D602" s="4" t="s">
        <v>21</v>
      </c>
      <c r="E602" s="4" t="s">
        <v>1070</v>
      </c>
      <c r="F602" s="4" t="s">
        <v>10</v>
      </c>
      <c r="G602" s="4" t="s">
        <v>11</v>
      </c>
      <c r="H602" s="7" t="str">
        <f>HYPERLINK("http://apps.fcc.gov/ecfs/document/view?id=7520944405","  (9 pages)")</f>
        <v>  (9 pages)</v>
      </c>
    </row>
    <row r="603" spans="1:8" ht="12.75">
      <c r="A603" s="4" t="s">
        <v>6</v>
      </c>
      <c r="B603" s="4" t="s">
        <v>314</v>
      </c>
      <c r="C603" s="4" t="s">
        <v>8</v>
      </c>
      <c r="D603" s="4" t="s">
        <v>21</v>
      </c>
      <c r="E603" s="4" t="s">
        <v>21</v>
      </c>
      <c r="F603" s="4" t="s">
        <v>10</v>
      </c>
      <c r="G603" s="4" t="s">
        <v>11</v>
      </c>
      <c r="H603" s="7" t="str">
        <f>HYPERLINK("http://apps.fcc.gov/ecfs/document/view?id=7520943795","  (10 pages)")</f>
        <v>  (10 pages)</v>
      </c>
    </row>
    <row r="604" spans="1:8" ht="12.75">
      <c r="A604" s="4" t="s">
        <v>6</v>
      </c>
      <c r="B604" s="4" t="s">
        <v>61</v>
      </c>
      <c r="C604" s="4" t="s">
        <v>8</v>
      </c>
      <c r="D604" s="4" t="s">
        <v>21</v>
      </c>
      <c r="E604" s="4" t="s">
        <v>9</v>
      </c>
      <c r="F604" s="4" t="s">
        <v>10</v>
      </c>
      <c r="G604" s="4" t="s">
        <v>11</v>
      </c>
      <c r="H604" s="7" t="str">
        <f>HYPERLINK("http://apps.fcc.gov/ecfs/document/view?id=7520944031","  (25 pages)")</f>
        <v>  (25 pages)</v>
      </c>
    </row>
    <row r="605" spans="1:8" ht="12.75">
      <c r="A605" s="4" t="s">
        <v>6</v>
      </c>
      <c r="B605" s="4" t="s">
        <v>858</v>
      </c>
      <c r="C605" s="4" t="s">
        <v>78</v>
      </c>
      <c r="D605" s="4" t="s">
        <v>21</v>
      </c>
      <c r="E605" s="4" t="s">
        <v>9</v>
      </c>
      <c r="F605" s="4" t="s">
        <v>10</v>
      </c>
      <c r="G605" s="4" t="s">
        <v>11</v>
      </c>
      <c r="H605" s="7" t="str">
        <f>HYPERLINK("http://apps.fcc.gov/ecfs/document/view?id=7520944122","  (2 pages)")</f>
        <v>  (2 pages)</v>
      </c>
    </row>
    <row r="606" spans="1:8" ht="12.75">
      <c r="A606" s="4" t="s">
        <v>6</v>
      </c>
      <c r="B606" s="4" t="s">
        <v>907</v>
      </c>
      <c r="C606" s="4" t="s">
        <v>748</v>
      </c>
      <c r="D606" s="4" t="s">
        <v>738</v>
      </c>
      <c r="E606" s="4" t="s">
        <v>738</v>
      </c>
      <c r="F606" s="4" t="s">
        <v>10</v>
      </c>
      <c r="G606" s="4" t="s">
        <v>11</v>
      </c>
      <c r="H606" s="7" t="str">
        <f>HYPERLINK("http://apps.fcc.gov/ecfs/document/view?id=7520940155","  (2 pages)")</f>
        <v>  (2 pages)</v>
      </c>
    </row>
    <row r="607" spans="1:8" ht="12.75">
      <c r="A607" s="4" t="s">
        <v>6</v>
      </c>
      <c r="B607" s="4" t="s">
        <v>1065</v>
      </c>
      <c r="C607" s="4" t="s">
        <v>437</v>
      </c>
      <c r="D607" s="4" t="s">
        <v>333</v>
      </c>
      <c r="E607" s="4" t="s">
        <v>333</v>
      </c>
      <c r="F607" s="4" t="s">
        <v>10</v>
      </c>
      <c r="G607" s="4" t="s">
        <v>11</v>
      </c>
      <c r="H607" s="7" t="str">
        <f>HYPERLINK("http://apps.fcc.gov/ecfs/document/view?id=7520943313","  (1 page)")</f>
        <v>  (1 page)</v>
      </c>
    </row>
    <row r="608" spans="1:8" ht="12.75">
      <c r="A608" s="4" t="s">
        <v>6</v>
      </c>
      <c r="B608" s="4" t="s">
        <v>1012</v>
      </c>
      <c r="C608" s="4" t="s">
        <v>287</v>
      </c>
      <c r="D608" s="4" t="s">
        <v>21</v>
      </c>
      <c r="E608" s="4" t="s">
        <v>21</v>
      </c>
      <c r="F608" s="4" t="s">
        <v>10</v>
      </c>
      <c r="G608" s="4" t="s">
        <v>11</v>
      </c>
      <c r="H608" s="7" t="str">
        <f>HYPERLINK("http://apps.fcc.gov/ecfs/document/view?id=7520943854","  (2 pages)")</f>
        <v>  (2 pages)</v>
      </c>
    </row>
    <row r="609" spans="1:8" ht="12.75">
      <c r="A609" s="4" t="s">
        <v>6</v>
      </c>
      <c r="B609" s="4" t="s">
        <v>1013</v>
      </c>
      <c r="C609" s="4" t="s">
        <v>703</v>
      </c>
      <c r="D609" s="4" t="s">
        <v>701</v>
      </c>
      <c r="E609" s="4" t="s">
        <v>685</v>
      </c>
      <c r="F609" s="4" t="s">
        <v>10</v>
      </c>
      <c r="G609" s="4" t="s">
        <v>11</v>
      </c>
      <c r="H609" s="7" t="str">
        <f>HYPERLINK("http://apps.fcc.gov/ecfs/document/view?id=7520942111","  (1 page)")</f>
        <v>  (1 page)</v>
      </c>
    </row>
    <row r="610" spans="1:8" ht="12.75">
      <c r="A610" s="4" t="s">
        <v>6</v>
      </c>
      <c r="B610" s="4" t="s">
        <v>1031</v>
      </c>
      <c r="C610" s="4" t="s">
        <v>757</v>
      </c>
      <c r="D610" s="4" t="s">
        <v>755</v>
      </c>
      <c r="E610" s="4" t="s">
        <v>755</v>
      </c>
      <c r="F610" s="4" t="s">
        <v>10</v>
      </c>
      <c r="G610" s="4" t="s">
        <v>11</v>
      </c>
      <c r="H610" s="7" t="str">
        <f>HYPERLINK("http://apps.fcc.gov/ecfs/document/view?id=7520939825"," (1 page)")</f>
        <v> (1 page)</v>
      </c>
    </row>
    <row r="611" spans="1:8" ht="12.75">
      <c r="A611" s="4" t="s">
        <v>6</v>
      </c>
      <c r="B611" s="4" t="s">
        <v>951</v>
      </c>
      <c r="C611" s="4" t="s">
        <v>745</v>
      </c>
      <c r="D611" s="4" t="s">
        <v>738</v>
      </c>
      <c r="E611" s="4" t="s">
        <v>738</v>
      </c>
      <c r="F611" s="4" t="s">
        <v>10</v>
      </c>
      <c r="G611" s="4" t="s">
        <v>11</v>
      </c>
      <c r="H611" s="7" t="str">
        <f>HYPERLINK("http://apps.fcc.gov/ecfs/document/view?id=7520940215"," (1 page)")</f>
        <v> (1 page)</v>
      </c>
    </row>
    <row r="612" spans="1:8" ht="12.75">
      <c r="A612" s="4" t="s">
        <v>6</v>
      </c>
      <c r="B612" s="4" t="s">
        <v>60</v>
      </c>
      <c r="C612" s="4" t="s">
        <v>8</v>
      </c>
      <c r="D612" s="4" t="s">
        <v>21</v>
      </c>
      <c r="E612" s="4" t="s">
        <v>9</v>
      </c>
      <c r="F612" s="4" t="s">
        <v>10</v>
      </c>
      <c r="G612" s="4" t="s">
        <v>11</v>
      </c>
      <c r="H612" s="7" t="str">
        <f>HYPERLINK("http://apps.fcc.gov/ecfs/document/view?id=7520943985","  (22 pages)")</f>
        <v>  (22 pages)</v>
      </c>
    </row>
    <row r="613" spans="1:8" ht="12.75">
      <c r="A613" s="4" t="s">
        <v>6</v>
      </c>
      <c r="B613" s="4" t="s">
        <v>953</v>
      </c>
      <c r="C613" s="4" t="s">
        <v>302</v>
      </c>
      <c r="D613" s="4" t="s">
        <v>21</v>
      </c>
      <c r="E613" s="4" t="s">
        <v>21</v>
      </c>
      <c r="F613" s="4" t="s">
        <v>10</v>
      </c>
      <c r="G613" s="4" t="s">
        <v>11</v>
      </c>
      <c r="H613" s="7" t="str">
        <f>HYPERLINK("http://apps.fcc.gov/ecfs/document/view?id=7520943816","District Comment on E Rate NPRM (1 page)")</f>
        <v>District Comment on E Rate NPRM (1 page)</v>
      </c>
    </row>
    <row r="614" spans="1:8" ht="12.75">
      <c r="A614" s="4" t="s">
        <v>6</v>
      </c>
      <c r="B614" s="4" t="s">
        <v>833</v>
      </c>
      <c r="C614" s="4" t="s">
        <v>556</v>
      </c>
      <c r="D614" s="4" t="s">
        <v>524</v>
      </c>
      <c r="E614" s="4" t="s">
        <v>524</v>
      </c>
      <c r="F614" s="4" t="s">
        <v>10</v>
      </c>
      <c r="G614" s="4" t="s">
        <v>11</v>
      </c>
      <c r="H614" s="7" t="str">
        <f>HYPERLINK("http://apps.fcc.gov/ecfs/document/view?id=7520943048","St Ignatius School Comment on E Rate NPRM (1 page)")</f>
        <v>St Ignatius School Comment on E Rate NPRM (1 page)</v>
      </c>
    </row>
    <row r="615" spans="1:8" ht="12.75">
      <c r="A615" s="4" t="s">
        <v>6</v>
      </c>
      <c r="B615" s="4" t="s">
        <v>1019</v>
      </c>
      <c r="C615" s="4" t="s">
        <v>595</v>
      </c>
      <c r="D615" s="4" t="s">
        <v>524</v>
      </c>
      <c r="E615" s="4" t="s">
        <v>524</v>
      </c>
      <c r="F615" s="4" t="s">
        <v>10</v>
      </c>
      <c r="G615" s="4" t="s">
        <v>11</v>
      </c>
      <c r="H615" s="7" t="str">
        <f>HYPERLINK("http://apps.fcc.gov/ecfs/document/view?id=7520943022","St John the Evangelist Regional School Comment on E Rate NPRM (2 pages)")</f>
        <v>St John the Evangelist Regional School Comment on E Rate NPRM (2 pages)</v>
      </c>
    </row>
    <row r="616" spans="1:8" ht="12.75">
      <c r="A616" s="4" t="s">
        <v>6</v>
      </c>
      <c r="B616" s="4" t="s">
        <v>676</v>
      </c>
      <c r="C616" s="4" t="s">
        <v>8</v>
      </c>
      <c r="D616" s="4" t="s">
        <v>673</v>
      </c>
      <c r="E616" s="4" t="s">
        <v>673</v>
      </c>
      <c r="F616" s="4" t="s">
        <v>10</v>
      </c>
      <c r="G616" s="4" t="s">
        <v>11</v>
      </c>
      <c r="H616" s="7" t="str">
        <f>HYPERLINK("http://apps.fcc.gov/ecfs/document/view?id=7520942559","St Mary Parish School District Comment on NPRM changes to Email and Web Hosting (2 pages)")</f>
        <v>St Mary Parish School District Comment on NPRM changes to Email and Web Hosting (2 pages)</v>
      </c>
    </row>
    <row r="617" spans="1:8" ht="12.75">
      <c r="A617" s="4" t="s">
        <v>6</v>
      </c>
      <c r="B617" s="4" t="s">
        <v>313</v>
      </c>
      <c r="C617" s="4" t="s">
        <v>8</v>
      </c>
      <c r="D617" s="4" t="s">
        <v>21</v>
      </c>
      <c r="E617" s="4" t="s">
        <v>21</v>
      </c>
      <c r="F617" s="4" t="s">
        <v>10</v>
      </c>
      <c r="G617" s="4" t="s">
        <v>11</v>
      </c>
      <c r="H617" s="7" t="str">
        <f>HYPERLINK("http://apps.fcc.gov/ecfs/document/view?id=7520943787","  (1 page)")</f>
        <v>  (1 page)</v>
      </c>
    </row>
    <row r="618" spans="1:8" ht="12.75">
      <c r="A618" s="4" t="s">
        <v>6</v>
      </c>
      <c r="B618" s="4" t="s">
        <v>840</v>
      </c>
      <c r="C618" s="4" t="s">
        <v>527</v>
      </c>
      <c r="D618" s="4" t="s">
        <v>333</v>
      </c>
      <c r="E618" s="4" t="s">
        <v>333</v>
      </c>
      <c r="F618" s="4" t="s">
        <v>10</v>
      </c>
      <c r="G618" s="4" t="s">
        <v>11</v>
      </c>
      <c r="H618" s="7" t="str">
        <f>HYPERLINK("http://apps.fcc.gov/ecfs/document/view?id=7520943224","St Sebastian Regional School s e Rate comments (1 page)")</f>
        <v>St Sebastian Regional School s e Rate comments (1 page)</v>
      </c>
    </row>
    <row r="619" spans="1:8" ht="12.75">
      <c r="A619" s="4" t="s">
        <v>6</v>
      </c>
      <c r="B619" s="4" t="s">
        <v>963</v>
      </c>
      <c r="C619" s="4" t="s">
        <v>620</v>
      </c>
      <c r="D619" s="4" t="s">
        <v>598</v>
      </c>
      <c r="E619" s="4" t="s">
        <v>524</v>
      </c>
      <c r="F619" s="4" t="s">
        <v>10</v>
      </c>
      <c r="G619" s="4" t="s">
        <v>11</v>
      </c>
      <c r="H619" s="7" t="str">
        <f>HYPERLINK("http://apps.fcc.gov/ecfs/document/view?id=7520942937"," (1 page)")</f>
        <v> (1 page)</v>
      </c>
    </row>
    <row r="620" spans="1:8" ht="12.75">
      <c r="A620" s="4" t="s">
        <v>6</v>
      </c>
      <c r="B620" s="4" t="s">
        <v>293</v>
      </c>
      <c r="C620" s="4" t="s">
        <v>8</v>
      </c>
      <c r="D620" s="4" t="s">
        <v>21</v>
      </c>
      <c r="E620" s="4" t="s">
        <v>21</v>
      </c>
      <c r="F620" s="4" t="s">
        <v>10</v>
      </c>
      <c r="G620" s="4" t="s">
        <v>11</v>
      </c>
      <c r="H620" s="7" t="str">
        <f>HYPERLINK("http://apps.fcc.gov/ecfs/document/view?id=7520943809","  (2 pages)")</f>
        <v>  (2 pages)</v>
      </c>
    </row>
    <row r="621" spans="1:8" ht="12.75">
      <c r="A621" s="4" t="s">
        <v>6</v>
      </c>
      <c r="B621" s="4" t="s">
        <v>59</v>
      </c>
      <c r="C621" s="4" t="s">
        <v>8</v>
      </c>
      <c r="D621" s="4" t="s">
        <v>21</v>
      </c>
      <c r="E621" s="4" t="s">
        <v>9</v>
      </c>
      <c r="F621" s="4" t="s">
        <v>10</v>
      </c>
      <c r="G621" s="4" t="s">
        <v>11</v>
      </c>
      <c r="H621" s="7" t="str">
        <f>HYPERLINK("http://apps.fcc.gov/ecfs/document/view?id=7520944137","  (5 pages)")</f>
        <v>  (5 pages)</v>
      </c>
    </row>
    <row r="622" spans="1:10" ht="12.75">
      <c r="A622" s="4" t="s">
        <v>6</v>
      </c>
      <c r="B622" s="4" t="s">
        <v>56</v>
      </c>
      <c r="C622" s="4" t="s">
        <v>8</v>
      </c>
      <c r="D622" s="4" t="s">
        <v>21</v>
      </c>
      <c r="E622" s="4" t="s">
        <v>9</v>
      </c>
      <c r="F622" s="4" t="s">
        <v>10</v>
      </c>
      <c r="G622" s="4" t="s">
        <v>11</v>
      </c>
      <c r="H622" s="7" t="str">
        <f>HYPERLINK("http://apps.fcc.gov/ecfs/document/view?id=7520944050","SETDA Comments on E rate Modernization (24 pages)")</f>
        <v>SETDA Comments on E rate Modernization (24 pages)</v>
      </c>
      <c r="I622" s="7" t="str">
        <f>HYPERLINK("http://apps.fcc.gov/ecfs/document/view?id=7520944051","The Broadband Imperative Recommendations to Address K 12 Education Infrastructu (37 pages)")</f>
        <v>The Broadband Imperative Recommendations to Address K 12 Education Infrastructu (37 pages)</v>
      </c>
      <c r="J622" s="7" t="str">
        <f>HYPERLINK("http://apps.fcc.gov/ecfs/document/view?id=7520944385","  (2 pages)")</f>
        <v>  (2 pages)</v>
      </c>
    </row>
    <row r="623" spans="1:8" ht="12.75">
      <c r="A623" s="4" t="s">
        <v>6</v>
      </c>
      <c r="B623" s="4" t="s">
        <v>57</v>
      </c>
      <c r="C623" s="4" t="s">
        <v>58</v>
      </c>
      <c r="D623" s="4" t="s">
        <v>21</v>
      </c>
      <c r="E623" s="4" t="s">
        <v>9</v>
      </c>
      <c r="F623" s="4" t="s">
        <v>10</v>
      </c>
      <c r="G623" s="4" t="s">
        <v>11</v>
      </c>
      <c r="H623" s="7" t="str">
        <f>HYPERLINK("http://apps.fcc.gov/ecfs/document/view?id=7520944060","  (54 pages)")</f>
        <v>  (54 pages)</v>
      </c>
    </row>
    <row r="624" spans="1:8" ht="12.75">
      <c r="A624" s="4" t="s">
        <v>6</v>
      </c>
      <c r="B624" s="4" t="s">
        <v>55</v>
      </c>
      <c r="C624" s="4" t="s">
        <v>8</v>
      </c>
      <c r="D624" s="4" t="s">
        <v>21</v>
      </c>
      <c r="E624" s="4" t="s">
        <v>9</v>
      </c>
      <c r="F624" s="4" t="s">
        <v>10</v>
      </c>
      <c r="G624" s="4" t="s">
        <v>11</v>
      </c>
      <c r="H624" s="7" t="str">
        <f>HYPERLINK("http://apps.fcc.gov/ecfs/document/view?id=7520944002","  (21 pages)")</f>
        <v>  (21 pages)</v>
      </c>
    </row>
    <row r="625" spans="1:8" ht="12.75">
      <c r="A625" s="4" t="s">
        <v>6</v>
      </c>
      <c r="B625" s="4" t="s">
        <v>54</v>
      </c>
      <c r="C625" s="4" t="s">
        <v>8</v>
      </c>
      <c r="D625" s="4" t="s">
        <v>21</v>
      </c>
      <c r="E625" s="4" t="s">
        <v>9</v>
      </c>
      <c r="F625" s="4" t="s">
        <v>10</v>
      </c>
      <c r="G625" s="4" t="s">
        <v>11</v>
      </c>
      <c r="H625" s="7" t="str">
        <f>HYPERLINK("http://apps.fcc.gov/ecfs/document/view?id=7520944019","  (32 pages)")</f>
        <v>  (32 pages)</v>
      </c>
    </row>
    <row r="626" spans="1:8" ht="12.75">
      <c r="A626" s="4" t="s">
        <v>6</v>
      </c>
      <c r="B626" s="4" t="s">
        <v>52</v>
      </c>
      <c r="C626" s="4" t="s">
        <v>53</v>
      </c>
      <c r="D626" s="4" t="s">
        <v>21</v>
      </c>
      <c r="E626" s="4" t="s">
        <v>9</v>
      </c>
      <c r="F626" s="4" t="s">
        <v>10</v>
      </c>
      <c r="G626" s="4" t="s">
        <v>11</v>
      </c>
      <c r="H626" s="7" t="str">
        <f>HYPERLINK("http://apps.fcc.gov/ecfs/document/view?id=7520943989","Comments of Hawaii (21 pages)")</f>
        <v>Comments of Hawaii (21 pages)</v>
      </c>
    </row>
    <row r="627" spans="1:8" ht="12.75">
      <c r="A627" s="4" t="s">
        <v>6</v>
      </c>
      <c r="B627" s="4" t="s">
        <v>977</v>
      </c>
      <c r="C627" s="4" t="s">
        <v>370</v>
      </c>
      <c r="D627" s="4" t="s">
        <v>21</v>
      </c>
      <c r="E627" s="4" t="s">
        <v>21</v>
      </c>
      <c r="F627" s="4" t="s">
        <v>10</v>
      </c>
      <c r="G627" s="4" t="s">
        <v>11</v>
      </c>
      <c r="H627" s="7" t="str">
        <f>HYPERLINK("http://apps.fcc.gov/ecfs/document/view?id=7520943625","  (1 page)")</f>
        <v>  (1 page)</v>
      </c>
    </row>
    <row r="628" spans="1:8" ht="12.75">
      <c r="A628" s="4" t="s">
        <v>6</v>
      </c>
      <c r="B628" s="4" t="s">
        <v>1036</v>
      </c>
      <c r="C628" s="4" t="s">
        <v>241</v>
      </c>
      <c r="D628" s="4" t="s">
        <v>9</v>
      </c>
      <c r="E628" s="4" t="s">
        <v>9</v>
      </c>
      <c r="F628" s="4" t="s">
        <v>10</v>
      </c>
      <c r="G628" s="4" t="s">
        <v>11</v>
      </c>
      <c r="H628" s="7" t="str">
        <f>HYPERLINK("http://apps.fcc.gov/ecfs/document/view?id=7520944212","  (1 page)")</f>
        <v>  (1 page)</v>
      </c>
    </row>
    <row r="629" spans="1:8" ht="12.75">
      <c r="A629" s="4" t="s">
        <v>6</v>
      </c>
      <c r="B629" s="4" t="s">
        <v>51</v>
      </c>
      <c r="C629" s="4" t="s">
        <v>8</v>
      </c>
      <c r="D629" s="4" t="s">
        <v>9</v>
      </c>
      <c r="E629" s="4" t="s">
        <v>9</v>
      </c>
      <c r="F629" s="4" t="s">
        <v>10</v>
      </c>
      <c r="G629" s="4" t="s">
        <v>11</v>
      </c>
      <c r="H629" s="7" t="str">
        <f>HYPERLINK("http://apps.fcc.gov/ecfs/document/view?id=7520944244","  (1 page)")</f>
        <v>  (1 page)</v>
      </c>
    </row>
    <row r="630" spans="1:12" ht="12.75">
      <c r="A630" t="s">
        <v>6</v>
      </c>
      <c r="B630" s="4" t="s">
        <v>1110</v>
      </c>
      <c r="C630" t="s">
        <v>8</v>
      </c>
      <c r="D630" t="s">
        <v>1109</v>
      </c>
      <c r="E630" t="s">
        <v>1109</v>
      </c>
      <c r="F630" t="s">
        <v>10</v>
      </c>
      <c r="G630" t="s">
        <v>11</v>
      </c>
      <c r="H630" s="1" t="str">
        <f>HYPERLINK("http://apps.fcc.gov/ecfs/document/view?id=7520944718","  (1 page)")</f>
        <v>  (1 page)</v>
      </c>
      <c r="I630"/>
      <c r="J630"/>
      <c r="K630"/>
      <c r="L630"/>
    </row>
    <row r="631" spans="1:8" ht="12.75">
      <c r="A631" s="4" t="s">
        <v>6</v>
      </c>
      <c r="B631" s="4" t="s">
        <v>687</v>
      </c>
      <c r="C631" s="4" t="s">
        <v>8</v>
      </c>
      <c r="D631" s="4" t="s">
        <v>673</v>
      </c>
      <c r="E631" s="4" t="s">
        <v>673</v>
      </c>
      <c r="F631" s="4" t="s">
        <v>10</v>
      </c>
      <c r="G631" s="4" t="s">
        <v>11</v>
      </c>
      <c r="H631" s="7" t="str">
        <f>HYPERLINK("http://apps.fcc.gov/ecfs/document/view?id=7520942518"," (1 page)")</f>
        <v> (1 page)</v>
      </c>
    </row>
    <row r="632" spans="1:8" ht="12.75">
      <c r="A632" s="4" t="s">
        <v>6</v>
      </c>
      <c r="B632" s="4" t="s">
        <v>915</v>
      </c>
      <c r="C632" s="4" t="s">
        <v>653</v>
      </c>
      <c r="D632" s="4" t="s">
        <v>598</v>
      </c>
      <c r="E632" s="4" t="s">
        <v>598</v>
      </c>
      <c r="F632" s="4" t="s">
        <v>10</v>
      </c>
      <c r="G632" s="4" t="s">
        <v>11</v>
      </c>
      <c r="H632" s="7" t="str">
        <f>HYPERLINK("http://apps.fcc.gov/ecfs/document/view?id=7520942872","  (1 page)")</f>
        <v>  (1 page)</v>
      </c>
    </row>
    <row r="633" spans="1:8" ht="12.75">
      <c r="A633" s="4" t="s">
        <v>6</v>
      </c>
      <c r="B633" s="4" t="s">
        <v>906</v>
      </c>
      <c r="C633" s="4" t="s">
        <v>438</v>
      </c>
      <c r="D633" s="4" t="s">
        <v>333</v>
      </c>
      <c r="E633" s="4" t="s">
        <v>333</v>
      </c>
      <c r="F633" s="4" t="s">
        <v>10</v>
      </c>
      <c r="G633" s="4" t="s">
        <v>11</v>
      </c>
      <c r="H633" s="7" t="str">
        <f>HYPERLINK("http://apps.fcc.gov/ecfs/document/view?id=7520943279","  (1 page)")</f>
        <v>  (1 page)</v>
      </c>
    </row>
    <row r="634" spans="1:8" ht="12.75">
      <c r="A634" s="4" t="s">
        <v>6</v>
      </c>
      <c r="B634" s="4" t="s">
        <v>1029</v>
      </c>
      <c r="C634" s="4" t="s">
        <v>383</v>
      </c>
      <c r="D634" s="4" t="s">
        <v>333</v>
      </c>
      <c r="E634" s="4" t="s">
        <v>21</v>
      </c>
      <c r="F634" s="4" t="s">
        <v>10</v>
      </c>
      <c r="G634" s="4" t="s">
        <v>11</v>
      </c>
      <c r="H634" s="7" t="str">
        <f>HYPERLINK("http://apps.fcc.gov/ecfs/document/view?id=7520943500","  (2 pages)")</f>
        <v>  (2 pages)</v>
      </c>
    </row>
    <row r="635" spans="1:8" ht="12.75">
      <c r="A635" s="4" t="s">
        <v>6</v>
      </c>
      <c r="B635" s="4" t="s">
        <v>291</v>
      </c>
      <c r="C635" s="4" t="s">
        <v>292</v>
      </c>
      <c r="D635" s="4" t="s">
        <v>21</v>
      </c>
      <c r="E635" s="4" t="s">
        <v>21</v>
      </c>
      <c r="F635" s="4" t="s">
        <v>10</v>
      </c>
      <c r="G635" s="4" t="s">
        <v>11</v>
      </c>
      <c r="H635" s="7" t="str">
        <f>HYPERLINK("http://apps.fcc.gov/ecfs/document/view?id=7520943802","Sunesys LLC Initial E rate NPRM Comments (15 pages)")</f>
        <v>Sunesys LLC Initial E rate NPRM Comments (15 pages)</v>
      </c>
    </row>
    <row r="636" spans="1:8" ht="12.75">
      <c r="A636" s="4" t="s">
        <v>6</v>
      </c>
      <c r="B636" s="4" t="s">
        <v>679</v>
      </c>
      <c r="C636" s="4" t="s">
        <v>8</v>
      </c>
      <c r="D636" s="4" t="s">
        <v>673</v>
      </c>
      <c r="E636" s="4" t="s">
        <v>673</v>
      </c>
      <c r="F636" s="4" t="s">
        <v>10</v>
      </c>
      <c r="G636" s="4" t="s">
        <v>11</v>
      </c>
      <c r="H636" s="7" t="str">
        <f>HYPERLINK("http://apps.fcc.gov/ecfs/document/view?id=7520942568","SUPERNet Consortium response to NPRM (2 pages)")</f>
        <v>SUPERNet Consortium response to NPRM (2 pages)</v>
      </c>
    </row>
    <row r="637" spans="1:9" ht="12.75">
      <c r="A637" s="4" t="s">
        <v>6</v>
      </c>
      <c r="B637" s="4" t="s">
        <v>49</v>
      </c>
      <c r="C637" s="4" t="s">
        <v>8</v>
      </c>
      <c r="D637" s="4" t="s">
        <v>524</v>
      </c>
      <c r="E637" s="4" t="s">
        <v>524</v>
      </c>
      <c r="F637" s="4" t="s">
        <v>10</v>
      </c>
      <c r="G637" s="4" t="s">
        <v>11</v>
      </c>
      <c r="H637" s="7" t="str">
        <f>HYPERLINK("http://apps.fcc.gov/ecfs/document/view?id=7520943120","  (1 page)")</f>
        <v>  (1 page)</v>
      </c>
      <c r="I637" s="7" t="str">
        <f>HYPERLINK("http://apps.fcc.gov/ecfs/document/view?id=7520944246","  (1 page)")</f>
        <v>  (1 page)</v>
      </c>
    </row>
    <row r="638" spans="1:8" ht="12.75">
      <c r="A638" s="4" t="s">
        <v>6</v>
      </c>
      <c r="B638" s="4" t="s">
        <v>397</v>
      </c>
      <c r="C638" s="4" t="s">
        <v>8</v>
      </c>
      <c r="D638" s="4" t="s">
        <v>333</v>
      </c>
      <c r="E638" s="4" t="s">
        <v>333</v>
      </c>
      <c r="F638" s="4" t="s">
        <v>10</v>
      </c>
      <c r="G638" s="4" t="s">
        <v>11</v>
      </c>
      <c r="H638" s="7" t="str">
        <f>HYPERLINK("http://apps.fcc.gov/ecfs/document/view?id=7520943294","  (1 page)")</f>
        <v>  (1 page)</v>
      </c>
    </row>
    <row r="639" spans="1:8" ht="12.75">
      <c r="A639" s="4" t="s">
        <v>6</v>
      </c>
      <c r="B639" s="4" t="s">
        <v>526</v>
      </c>
      <c r="C639" s="4" t="s">
        <v>8</v>
      </c>
      <c r="D639" s="4" t="s">
        <v>333</v>
      </c>
      <c r="E639" s="4" t="s">
        <v>333</v>
      </c>
      <c r="F639" s="4" t="s">
        <v>10</v>
      </c>
      <c r="G639" s="4" t="s">
        <v>11</v>
      </c>
      <c r="H639" s="7" t="str">
        <f>HYPERLINK("http://apps.fcc.gov/ecfs/document/view?id=7520943251","  (1 page)")</f>
        <v>  (1 page)</v>
      </c>
    </row>
    <row r="640" spans="1:8" ht="12.75">
      <c r="A640" s="4" t="s">
        <v>6</v>
      </c>
      <c r="B640" s="4" t="s">
        <v>559</v>
      </c>
      <c r="C640" s="4" t="s">
        <v>8</v>
      </c>
      <c r="D640" s="4" t="s">
        <v>524</v>
      </c>
      <c r="E640" s="4" t="s">
        <v>524</v>
      </c>
      <c r="F640" s="4" t="s">
        <v>10</v>
      </c>
      <c r="G640" s="4" t="s">
        <v>11</v>
      </c>
      <c r="H640" s="7" t="str">
        <f>HYPERLINK("http://apps.fcc.gov/ecfs/document/view?id=7520943060","  (1 page)")</f>
        <v>  (1 page)</v>
      </c>
    </row>
    <row r="641" spans="1:8" ht="12.75">
      <c r="A641" s="4" t="s">
        <v>6</v>
      </c>
      <c r="B641" s="4" t="s">
        <v>827</v>
      </c>
      <c r="C641" s="4" t="s">
        <v>631</v>
      </c>
      <c r="D641" s="4" t="s">
        <v>598</v>
      </c>
      <c r="E641" s="4" t="s">
        <v>598</v>
      </c>
      <c r="F641" s="4" t="s">
        <v>10</v>
      </c>
      <c r="G641" s="4" t="s">
        <v>11</v>
      </c>
      <c r="H641" s="7" t="str">
        <f>HYPERLINK("http://apps.fcc.gov/ecfs/document/view?id=7520942902","E rate funding (1 page)")</f>
        <v>E rate funding (1 page)</v>
      </c>
    </row>
    <row r="642" spans="1:9" ht="12.75">
      <c r="A642" s="4" t="s">
        <v>6</v>
      </c>
      <c r="B642" s="4" t="s">
        <v>938</v>
      </c>
      <c r="C642" s="4" t="s">
        <v>614</v>
      </c>
      <c r="D642" s="4" t="s">
        <v>598</v>
      </c>
      <c r="E642" s="4" t="s">
        <v>524</v>
      </c>
      <c r="F642" s="4" t="s">
        <v>10</v>
      </c>
      <c r="G642" s="4" t="s">
        <v>11</v>
      </c>
      <c r="H642" s="7" t="str">
        <f>HYPERLINK("http://apps.fcc.gov/ecfs/document/view?id=7520942918","Sylvan Union School District Comment on E Rate NPRM (1 page)")</f>
        <v>Sylvan Union School District Comment on E Rate NPRM (1 page)</v>
      </c>
      <c r="I642" s="7" t="str">
        <f>HYPERLINK("http://apps.fcc.gov/ecfs/document/view?id=7520942919","Sylvan Union School District Comment on E Rate NPRM (1 page)")</f>
        <v>Sylvan Union School District Comment on E Rate NPRM (1 page)</v>
      </c>
    </row>
    <row r="643" spans="1:8" ht="12.75">
      <c r="A643" s="4" t="s">
        <v>6</v>
      </c>
      <c r="B643" s="4" t="s">
        <v>396</v>
      </c>
      <c r="C643" s="4" t="s">
        <v>8</v>
      </c>
      <c r="D643" s="4" t="s">
        <v>333</v>
      </c>
      <c r="E643" s="4" t="s">
        <v>333</v>
      </c>
      <c r="F643" s="4" t="s">
        <v>10</v>
      </c>
      <c r="G643" s="4" t="s">
        <v>11</v>
      </c>
      <c r="H643" s="7" t="str">
        <f>HYPERLINK("http://apps.fcc.gov/ecfs/document/view?id=7520943359"," (1 page)")</f>
        <v> (1 page)</v>
      </c>
    </row>
    <row r="644" spans="1:8" ht="12.75">
      <c r="A644" s="4" t="s">
        <v>6</v>
      </c>
      <c r="B644" s="4" t="s">
        <v>772</v>
      </c>
      <c r="C644" s="4" t="s">
        <v>8</v>
      </c>
      <c r="D644" s="4" t="s">
        <v>768</v>
      </c>
      <c r="E644" s="4" t="s">
        <v>768</v>
      </c>
      <c r="F644" s="4" t="s">
        <v>10</v>
      </c>
      <c r="G644" s="4" t="s">
        <v>11</v>
      </c>
      <c r="H644" s="7" t="str">
        <f>HYPERLINK("http://apps.fcc.gov/ecfs/document/view?id=7520938513"," (1 page)")</f>
        <v> (1 page)</v>
      </c>
    </row>
    <row r="645" spans="1:8" ht="12.75">
      <c r="A645" s="4" t="s">
        <v>6</v>
      </c>
      <c r="B645" s="4" t="s">
        <v>903</v>
      </c>
      <c r="C645" s="4" t="s">
        <v>433</v>
      </c>
      <c r="D645" s="4" t="s">
        <v>333</v>
      </c>
      <c r="E645" s="4" t="s">
        <v>333</v>
      </c>
      <c r="F645" s="4" t="s">
        <v>10</v>
      </c>
      <c r="G645" s="4" t="s">
        <v>11</v>
      </c>
      <c r="H645" s="7" t="str">
        <f>HYPERLINK("http://apps.fcc.gov/ecfs/document/view?id=7520943389","  (1 page)")</f>
        <v>  (1 page)</v>
      </c>
    </row>
    <row r="646" spans="1:8" ht="12.75">
      <c r="A646" s="4" t="s">
        <v>6</v>
      </c>
      <c r="B646" s="4" t="s">
        <v>824</v>
      </c>
      <c r="C646" s="4" t="s">
        <v>716</v>
      </c>
      <c r="D646" s="4" t="s">
        <v>717</v>
      </c>
      <c r="E646" s="4" t="s">
        <v>707</v>
      </c>
      <c r="F646" s="4" t="s">
        <v>10</v>
      </c>
      <c r="G646" s="4" t="s">
        <v>11</v>
      </c>
      <c r="H646" s="7" t="str">
        <f>HYPERLINK("http://apps.fcc.gov/ecfs/document/view?id=7520940556","  (2 pages)")</f>
        <v>  (2 pages)</v>
      </c>
    </row>
    <row r="647" spans="1:8" ht="12.75">
      <c r="A647" s="4" t="s">
        <v>6</v>
      </c>
      <c r="B647" s="4" t="s">
        <v>343</v>
      </c>
      <c r="C647" s="4" t="s">
        <v>8</v>
      </c>
      <c r="D647" s="4" t="s">
        <v>21</v>
      </c>
      <c r="E647" s="4" t="s">
        <v>21</v>
      </c>
      <c r="F647" s="4" t="s">
        <v>10</v>
      </c>
      <c r="G647" s="4" t="s">
        <v>11</v>
      </c>
      <c r="H647" s="7" t="str">
        <f>HYPERLINK("http://apps.fcc.gov/ecfs/document/view?id=7520943618","  (2 pages)")</f>
        <v>  (2 pages)</v>
      </c>
    </row>
    <row r="648" spans="1:8" ht="12.75">
      <c r="A648" s="4" t="s">
        <v>6</v>
      </c>
      <c r="B648" s="4" t="s">
        <v>675</v>
      </c>
      <c r="C648" s="4" t="s">
        <v>8</v>
      </c>
      <c r="D648" s="4" t="s">
        <v>673</v>
      </c>
      <c r="E648" s="4" t="s">
        <v>673</v>
      </c>
      <c r="F648" s="4" t="s">
        <v>10</v>
      </c>
      <c r="G648" s="4" t="s">
        <v>11</v>
      </c>
      <c r="H648" s="7" t="str">
        <f>HYPERLINK("http://apps.fcc.gov/ecfs/document/view?id=7520942542"," (1 page)")</f>
        <v> (1 page)</v>
      </c>
    </row>
    <row r="649" spans="1:8" ht="12.75">
      <c r="A649" s="4" t="s">
        <v>6</v>
      </c>
      <c r="B649" s="4" t="s">
        <v>46</v>
      </c>
      <c r="C649" s="4" t="s">
        <v>8</v>
      </c>
      <c r="D649" s="4" t="s">
        <v>21</v>
      </c>
      <c r="E649" s="4" t="s">
        <v>9</v>
      </c>
      <c r="F649" s="4" t="s">
        <v>10</v>
      </c>
      <c r="G649" s="4" t="s">
        <v>11</v>
      </c>
      <c r="H649" s="7" t="str">
        <f>HYPERLINK("http://apps.fcc.gov/ecfs/document/view?id=7520943915","  (10 pages)")</f>
        <v>  (10 pages)</v>
      </c>
    </row>
    <row r="650" spans="1:8" ht="12.75">
      <c r="A650" s="4" t="s">
        <v>6</v>
      </c>
      <c r="B650" s="4" t="s">
        <v>394</v>
      </c>
      <c r="C650" s="4" t="s">
        <v>8</v>
      </c>
      <c r="D650" s="4" t="s">
        <v>333</v>
      </c>
      <c r="E650" s="4" t="s">
        <v>333</v>
      </c>
      <c r="F650" s="4" t="s">
        <v>10</v>
      </c>
      <c r="G650" s="4" t="s">
        <v>11</v>
      </c>
      <c r="H650" s="7" t="str">
        <f>HYPERLINK("http://apps.fcc.gov/ecfs/document/view?id=7520943289","  (1 page)")</f>
        <v>  (1 page)</v>
      </c>
    </row>
    <row r="651" spans="1:8" ht="12.75">
      <c r="A651" s="4" t="s">
        <v>6</v>
      </c>
      <c r="B651" s="4" t="s">
        <v>722</v>
      </c>
      <c r="C651" s="4" t="s">
        <v>8</v>
      </c>
      <c r="D651" s="4" t="s">
        <v>717</v>
      </c>
      <c r="E651" s="4" t="s">
        <v>717</v>
      </c>
      <c r="F651" s="4" t="s">
        <v>10</v>
      </c>
      <c r="G651" s="4" t="s">
        <v>11</v>
      </c>
      <c r="H651" s="7" t="str">
        <f>HYPERLINK("http://apps.fcc.gov/ecfs/document/view?id=7520940476","  (4 pages)")</f>
        <v>  (4 pages)</v>
      </c>
    </row>
    <row r="652" spans="1:8" ht="12.75">
      <c r="A652" s="4" t="s">
        <v>6</v>
      </c>
      <c r="B652" s="4" t="s">
        <v>974</v>
      </c>
      <c r="C652" s="4" t="s">
        <v>467</v>
      </c>
      <c r="D652" s="4" t="s">
        <v>333</v>
      </c>
      <c r="E652" s="4" t="s">
        <v>333</v>
      </c>
      <c r="F652" s="4" t="s">
        <v>10</v>
      </c>
      <c r="G652" s="4" t="s">
        <v>11</v>
      </c>
      <c r="H652" s="7" t="str">
        <f>HYPERLINK("http://apps.fcc.gov/ecfs/document/view?id=7520943309","  (1 page)")</f>
        <v>  (1 page)</v>
      </c>
    </row>
    <row r="653" spans="1:8" ht="12.75">
      <c r="A653" s="4" t="s">
        <v>6</v>
      </c>
      <c r="B653" s="4" t="s">
        <v>762</v>
      </c>
      <c r="C653" s="4" t="s">
        <v>8</v>
      </c>
      <c r="D653" s="4" t="s">
        <v>761</v>
      </c>
      <c r="E653" s="4" t="s">
        <v>761</v>
      </c>
      <c r="F653" s="4" t="s">
        <v>10</v>
      </c>
      <c r="G653" s="4" t="s">
        <v>11</v>
      </c>
      <c r="H653" s="7" t="str">
        <f>HYPERLINK("http://apps.fcc.gov/ecfs/document/view?id=7520939509","  (4 pages)")</f>
        <v>  (4 pages)</v>
      </c>
    </row>
    <row r="654" spans="1:8" ht="12.75">
      <c r="A654" s="4" t="s">
        <v>6</v>
      </c>
      <c r="B654" s="4" t="s">
        <v>525</v>
      </c>
      <c r="C654" s="4" t="s">
        <v>8</v>
      </c>
      <c r="D654" s="4" t="s">
        <v>333</v>
      </c>
      <c r="E654" s="4" t="s">
        <v>333</v>
      </c>
      <c r="F654" s="4" t="s">
        <v>10</v>
      </c>
      <c r="G654" s="4" t="s">
        <v>11</v>
      </c>
      <c r="H654" s="7" t="str">
        <f>HYPERLINK("http://apps.fcc.gov/ecfs/document/view?id=7520943234"," (1 page)")</f>
        <v> (1 page)</v>
      </c>
    </row>
    <row r="655" spans="1:8" ht="12.75">
      <c r="A655" s="4" t="s">
        <v>6</v>
      </c>
      <c r="B655" s="4" t="s">
        <v>895</v>
      </c>
      <c r="C655" s="4" t="s">
        <v>568</v>
      </c>
      <c r="D655" s="4" t="s">
        <v>524</v>
      </c>
      <c r="E655" s="4" t="s">
        <v>524</v>
      </c>
      <c r="F655" s="4" t="s">
        <v>10</v>
      </c>
      <c r="G655" s="4" t="s">
        <v>11</v>
      </c>
      <c r="H655" s="7" t="str">
        <f>HYPERLINK("http://apps.fcc.gov/ecfs/document/view?id=7520943037","  (7 pages)")</f>
        <v>  (7 pages)</v>
      </c>
    </row>
    <row r="656" spans="1:8" ht="12.75">
      <c r="A656" s="4" t="s">
        <v>6</v>
      </c>
      <c r="B656" s="4" t="s">
        <v>340</v>
      </c>
      <c r="C656" s="4" t="s">
        <v>8</v>
      </c>
      <c r="D656" s="4" t="s">
        <v>333</v>
      </c>
      <c r="E656" s="4" t="s">
        <v>21</v>
      </c>
      <c r="F656" s="4" t="s">
        <v>10</v>
      </c>
      <c r="G656" s="4" t="s">
        <v>11</v>
      </c>
      <c r="H656" s="7" t="str">
        <f>HYPERLINK("http://apps.fcc.gov/ecfs/document/view?id=7520943463","  (1 page)")</f>
        <v>  (1 page)</v>
      </c>
    </row>
    <row r="657" spans="1:8" ht="12.75">
      <c r="A657" s="4" t="s">
        <v>6</v>
      </c>
      <c r="B657" s="4" t="s">
        <v>392</v>
      </c>
      <c r="C657" s="4" t="s">
        <v>8</v>
      </c>
      <c r="D657" s="4" t="s">
        <v>333</v>
      </c>
      <c r="E657" s="4" t="s">
        <v>333</v>
      </c>
      <c r="F657" s="4" t="s">
        <v>10</v>
      </c>
      <c r="G657" s="4" t="s">
        <v>11</v>
      </c>
      <c r="H657" s="7" t="str">
        <f>HYPERLINK("http://apps.fcc.gov/ecfs/document/view?id=7520943307","  (1 page)")</f>
        <v>  (1 page)</v>
      </c>
    </row>
    <row r="658" spans="1:8" ht="12.75">
      <c r="A658" s="4" t="s">
        <v>6</v>
      </c>
      <c r="B658" s="4" t="s">
        <v>502</v>
      </c>
      <c r="C658" s="4" t="s">
        <v>8</v>
      </c>
      <c r="D658" s="4" t="s">
        <v>333</v>
      </c>
      <c r="E658" s="4" t="s">
        <v>333</v>
      </c>
      <c r="F658" s="4" t="s">
        <v>10</v>
      </c>
      <c r="G658" s="4" t="s">
        <v>11</v>
      </c>
      <c r="H658" s="7" t="str">
        <f>HYPERLINK("http://apps.fcc.gov/ecfs/document/view?id=7520943263","  (1 page)")</f>
        <v>  (1 page)</v>
      </c>
    </row>
    <row r="659" spans="1:8" ht="12.75">
      <c r="A659" s="4" t="s">
        <v>6</v>
      </c>
      <c r="B659" s="4" t="s">
        <v>555</v>
      </c>
      <c r="C659" s="4" t="s">
        <v>8</v>
      </c>
      <c r="D659" s="4" t="s">
        <v>524</v>
      </c>
      <c r="E659" s="4" t="s">
        <v>524</v>
      </c>
      <c r="F659" s="4" t="s">
        <v>10</v>
      </c>
      <c r="G659" s="4" t="s">
        <v>11</v>
      </c>
      <c r="H659" s="7" t="str">
        <f>HYPERLINK("http://apps.fcc.gov/ecfs/document/view?id=7520943049","  (1 page)")</f>
        <v>  (1 page)</v>
      </c>
    </row>
    <row r="660" spans="1:8" ht="12.75">
      <c r="A660" s="4" t="s">
        <v>6</v>
      </c>
      <c r="B660" s="4" t="s">
        <v>391</v>
      </c>
      <c r="C660" s="4" t="s">
        <v>8</v>
      </c>
      <c r="D660" s="4" t="s">
        <v>333</v>
      </c>
      <c r="E660" s="4" t="s">
        <v>333</v>
      </c>
      <c r="F660" s="4" t="s">
        <v>10</v>
      </c>
      <c r="G660" s="4" t="s">
        <v>11</v>
      </c>
      <c r="H660" s="7" t="str">
        <f>HYPERLINK("http://apps.fcc.gov/ecfs/document/view?id=7520943397","  (1 page)")</f>
        <v>  (1 page)</v>
      </c>
    </row>
    <row r="661" spans="1:8" ht="12.75">
      <c r="A661" s="4" t="s">
        <v>6</v>
      </c>
      <c r="B661" s="4" t="s">
        <v>851</v>
      </c>
      <c r="C661" s="4" t="s">
        <v>405</v>
      </c>
      <c r="D661" s="4" t="s">
        <v>333</v>
      </c>
      <c r="E661" s="4" t="s">
        <v>333</v>
      </c>
      <c r="F661" s="4" t="s">
        <v>10</v>
      </c>
      <c r="G661" s="4" t="s">
        <v>11</v>
      </c>
      <c r="H661" s="7" t="str">
        <f>HYPERLINK("http://apps.fcc.gov/ecfs/document/view?id=7520943400","  (1 page)")</f>
        <v>  (1 page)</v>
      </c>
    </row>
    <row r="662" spans="1:9" ht="12.75">
      <c r="A662" s="4" t="s">
        <v>6</v>
      </c>
      <c r="B662" s="4" t="s">
        <v>43</v>
      </c>
      <c r="C662" s="4" t="s">
        <v>8</v>
      </c>
      <c r="D662" s="4" t="s">
        <v>21</v>
      </c>
      <c r="E662" s="4" t="s">
        <v>9</v>
      </c>
      <c r="F662" s="4" t="s">
        <v>10</v>
      </c>
      <c r="G662" s="4" t="s">
        <v>11</v>
      </c>
      <c r="H662" s="7" t="str">
        <f>HYPERLINK("http://apps.fcc.gov/ecfs/document/view?id=7520943934","  (2 pages)")</f>
        <v>  (2 pages)</v>
      </c>
      <c r="I662" s="7"/>
    </row>
    <row r="663" spans="1:8" ht="12.75">
      <c r="A663" s="4" t="s">
        <v>6</v>
      </c>
      <c r="B663" s="4" t="s">
        <v>766</v>
      </c>
      <c r="C663" s="4" t="s">
        <v>8</v>
      </c>
      <c r="D663" s="4" t="s">
        <v>764</v>
      </c>
      <c r="E663" s="4" t="s">
        <v>764</v>
      </c>
      <c r="F663" s="4" t="s">
        <v>10</v>
      </c>
      <c r="G663" s="4" t="s">
        <v>11</v>
      </c>
      <c r="H663" s="7" t="str">
        <f>HYPERLINK("http://apps.fcc.gov/ecfs/document/view?id=7520938848"," (1 page)")</f>
        <v> (1 page)</v>
      </c>
    </row>
    <row r="664" spans="1:8" ht="12.75">
      <c r="A664" s="4" t="s">
        <v>6</v>
      </c>
      <c r="B664" s="4" t="s">
        <v>388</v>
      </c>
      <c r="C664" s="4" t="s">
        <v>8</v>
      </c>
      <c r="D664" s="4" t="s">
        <v>333</v>
      </c>
      <c r="E664" s="4" t="s">
        <v>333</v>
      </c>
      <c r="F664" s="4" t="s">
        <v>10</v>
      </c>
      <c r="G664" s="4" t="s">
        <v>11</v>
      </c>
      <c r="H664" s="7" t="str">
        <f>HYPERLINK("http://apps.fcc.gov/ecfs/document/view?id=7520943442","  (1 page)")</f>
        <v>  (1 page)</v>
      </c>
    </row>
    <row r="665" spans="1:8" ht="12.75">
      <c r="A665" s="4" t="s">
        <v>6</v>
      </c>
      <c r="B665" s="4" t="s">
        <v>42</v>
      </c>
      <c r="C665" s="4" t="s">
        <v>8</v>
      </c>
      <c r="D665" s="4" t="s">
        <v>9</v>
      </c>
      <c r="E665" s="4" t="s">
        <v>9</v>
      </c>
      <c r="F665" s="4" t="s">
        <v>10</v>
      </c>
      <c r="G665" s="4" t="s">
        <v>11</v>
      </c>
      <c r="H665" s="7" t="str">
        <f>HYPERLINK("http://apps.fcc.gov/ecfs/document/view?id=7520944240","  (1 page)")</f>
        <v>  (1 page)</v>
      </c>
    </row>
    <row r="666" spans="1:8" ht="12.75">
      <c r="A666" s="4" t="s">
        <v>6</v>
      </c>
      <c r="B666" s="4" t="s">
        <v>928</v>
      </c>
      <c r="C666" s="4" t="s">
        <v>363</v>
      </c>
      <c r="D666" s="4" t="s">
        <v>333</v>
      </c>
      <c r="E666" s="4" t="s">
        <v>21</v>
      </c>
      <c r="F666" s="4" t="s">
        <v>10</v>
      </c>
      <c r="G666" s="4" t="s">
        <v>11</v>
      </c>
      <c r="H666" s="7" t="str">
        <f>HYPERLINK("http://apps.fcc.gov/ecfs/document/view?id=7520943475","Charter Schools and E rate (2 pages)")</f>
        <v>Charter Schools and E rate (2 pages)</v>
      </c>
    </row>
    <row r="667" spans="1:12" ht="12.75">
      <c r="A667" t="s">
        <v>6</v>
      </c>
      <c r="B667" s="4" t="s">
        <v>1153</v>
      </c>
      <c r="C667" t="s">
        <v>1135</v>
      </c>
      <c r="D667" t="s">
        <v>1070</v>
      </c>
      <c r="E667" t="s">
        <v>1109</v>
      </c>
      <c r="F667" t="s">
        <v>10</v>
      </c>
      <c r="G667" t="s">
        <v>11</v>
      </c>
      <c r="H667" s="1" t="str">
        <f>HYPERLINK("http://apps.fcc.gov/ecfs/document/view?id=7520944443","  (1 page)")</f>
        <v>  (1 page)</v>
      </c>
      <c r="I667"/>
      <c r="J667"/>
      <c r="K667"/>
      <c r="L667"/>
    </row>
    <row r="668" spans="1:8" ht="12.75">
      <c r="A668" s="4" t="s">
        <v>6</v>
      </c>
      <c r="B668" s="4" t="s">
        <v>558</v>
      </c>
      <c r="C668" s="4" t="s">
        <v>8</v>
      </c>
      <c r="D668" s="4" t="s">
        <v>524</v>
      </c>
      <c r="E668" s="4" t="s">
        <v>524</v>
      </c>
      <c r="F668" s="4" t="s">
        <v>10</v>
      </c>
      <c r="G668" s="4" t="s">
        <v>11</v>
      </c>
      <c r="H668" s="7" t="str">
        <f>HYPERLINK("http://apps.fcc.gov/ecfs/document/view?id=7520943054","  (5 pages)")</f>
        <v>  (5 pages)</v>
      </c>
    </row>
    <row r="669" spans="1:8" ht="12.75">
      <c r="A669" s="4" t="s">
        <v>6</v>
      </c>
      <c r="B669" s="4" t="s">
        <v>337</v>
      </c>
      <c r="C669" s="4" t="s">
        <v>8</v>
      </c>
      <c r="D669" s="4" t="s">
        <v>333</v>
      </c>
      <c r="E669" s="4" t="s">
        <v>21</v>
      </c>
      <c r="F669" s="4" t="s">
        <v>10</v>
      </c>
      <c r="G669" s="4" t="s">
        <v>11</v>
      </c>
      <c r="H669" s="7" t="str">
        <f>HYPERLINK("http://apps.fcc.gov/ecfs/document/view?id=7520943490","TelePacific E Rate Comments (6 pages)")</f>
        <v>TelePacific E Rate Comments (6 pages)</v>
      </c>
    </row>
    <row r="670" spans="1:8" ht="12.75">
      <c r="A670" s="4" t="s">
        <v>6</v>
      </c>
      <c r="B670" s="4" t="s">
        <v>669</v>
      </c>
      <c r="C670" s="4" t="s">
        <v>8</v>
      </c>
      <c r="D670" s="4" t="s">
        <v>553</v>
      </c>
      <c r="E670" s="4" t="s">
        <v>553</v>
      </c>
      <c r="F670" s="4" t="s">
        <v>10</v>
      </c>
      <c r="G670" s="4" t="s">
        <v>11</v>
      </c>
      <c r="H670" s="7" t="str">
        <f>HYPERLINK("http://apps.fcc.gov/ecfs/document/view?id=7520942708"," (1 page)")</f>
        <v> (1 page)</v>
      </c>
    </row>
    <row r="671" spans="1:12" ht="12.75">
      <c r="A671" t="s">
        <v>6</v>
      </c>
      <c r="B671" s="4" t="s">
        <v>1145</v>
      </c>
      <c r="C671" t="s">
        <v>1108</v>
      </c>
      <c r="D671" t="s">
        <v>1109</v>
      </c>
      <c r="E671" t="s">
        <v>1109</v>
      </c>
      <c r="F671" t="s">
        <v>10</v>
      </c>
      <c r="G671" t="s">
        <v>11</v>
      </c>
      <c r="H671" s="1" t="str">
        <f>HYPERLINK("http://apps.fcc.gov/ecfs/document/view?id=7520944712","  (1 page)")</f>
        <v>  (1 page)</v>
      </c>
      <c r="I671"/>
      <c r="J671"/>
      <c r="K671"/>
      <c r="L671"/>
    </row>
    <row r="672" spans="1:9" ht="12.75">
      <c r="A672" s="4" t="s">
        <v>6</v>
      </c>
      <c r="B672" s="4" t="s">
        <v>809</v>
      </c>
      <c r="C672" s="4" t="s">
        <v>531</v>
      </c>
      <c r="D672" s="4" t="s">
        <v>738</v>
      </c>
      <c r="E672" s="4" t="s">
        <v>738</v>
      </c>
      <c r="F672" s="4" t="s">
        <v>10</v>
      </c>
      <c r="G672" s="4" t="s">
        <v>11</v>
      </c>
      <c r="H672" s="7" t="str">
        <f>HYPERLINK("http://apps.fcc.gov/ecfs/document/view?id=7520940165","  (1 page)")</f>
        <v>  (1 page)</v>
      </c>
      <c r="I672" s="7" t="str">
        <f>HYPERLINK("http://apps.fcc.gov/ecfs/document/view?id=7520943217","  (1 page)")</f>
        <v>  (1 page)</v>
      </c>
    </row>
    <row r="673" spans="1:8" ht="12.75">
      <c r="A673" s="4" t="s">
        <v>6</v>
      </c>
      <c r="B673" s="4" t="s">
        <v>39</v>
      </c>
      <c r="C673" s="4" t="s">
        <v>40</v>
      </c>
      <c r="D673" s="4" t="s">
        <v>21</v>
      </c>
      <c r="E673" s="4" t="s">
        <v>9</v>
      </c>
      <c r="F673" s="4" t="s">
        <v>10</v>
      </c>
      <c r="G673" s="4" t="s">
        <v>11</v>
      </c>
      <c r="H673" s="7" t="str">
        <f>HYPERLINK("http://apps.fcc.gov/ecfs/document/view?id=7520943947","  (22 pages)")</f>
        <v>  (22 pages)</v>
      </c>
    </row>
    <row r="674" spans="1:8" ht="12.75">
      <c r="A674" s="4" t="s">
        <v>6</v>
      </c>
      <c r="B674" s="4" t="s">
        <v>312</v>
      </c>
      <c r="C674" s="4" t="s">
        <v>8</v>
      </c>
      <c r="D674" s="4" t="s">
        <v>21</v>
      </c>
      <c r="E674" s="4" t="s">
        <v>21</v>
      </c>
      <c r="F674" s="4" t="s">
        <v>10</v>
      </c>
      <c r="G674" s="4" t="s">
        <v>11</v>
      </c>
      <c r="H674" s="7" t="str">
        <f>HYPERLINK("http://apps.fcc.gov/ecfs/document/view?id=7520943785","  (2 pages)")</f>
        <v>  (2 pages)</v>
      </c>
    </row>
    <row r="675" spans="1:8" ht="12.75">
      <c r="A675" s="4" t="s">
        <v>6</v>
      </c>
      <c r="B675" s="4" t="s">
        <v>269</v>
      </c>
      <c r="C675" s="4" t="s">
        <v>8</v>
      </c>
      <c r="D675" s="4" t="s">
        <v>21</v>
      </c>
      <c r="E675" s="4" t="s">
        <v>21</v>
      </c>
      <c r="F675" s="4" t="s">
        <v>10</v>
      </c>
      <c r="G675" s="4" t="s">
        <v>11</v>
      </c>
      <c r="H675" s="7" t="str">
        <f>HYPERLINK("http://apps.fcc.gov/ecfs/document/view?id=7520943855","  (22 pages)")</f>
        <v>  (22 pages)</v>
      </c>
    </row>
    <row r="676" spans="1:8" ht="12.75">
      <c r="A676" s="4" t="s">
        <v>6</v>
      </c>
      <c r="B676" s="4" t="s">
        <v>38</v>
      </c>
      <c r="C676" s="4" t="s">
        <v>8</v>
      </c>
      <c r="D676" s="4" t="s">
        <v>9</v>
      </c>
      <c r="E676" s="4" t="s">
        <v>9</v>
      </c>
      <c r="F676" s="4" t="s">
        <v>10</v>
      </c>
      <c r="G676" s="4" t="s">
        <v>11</v>
      </c>
      <c r="H676" s="7" t="str">
        <f>HYPERLINK("http://apps.fcc.gov/ecfs/document/view?id=7520944158","  (2 pages)")</f>
        <v>  (2 pages)</v>
      </c>
    </row>
    <row r="677" spans="1:8" ht="12.75">
      <c r="A677" s="4" t="s">
        <v>6</v>
      </c>
      <c r="B677" s="4" t="s">
        <v>336</v>
      </c>
      <c r="C677" s="4" t="s">
        <v>8</v>
      </c>
      <c r="D677" s="4" t="s">
        <v>21</v>
      </c>
      <c r="E677" s="4" t="s">
        <v>21</v>
      </c>
      <c r="F677" s="4" t="s">
        <v>10</v>
      </c>
      <c r="G677" s="4" t="s">
        <v>11</v>
      </c>
      <c r="H677" s="7" t="str">
        <f>HYPERLINK("http://apps.fcc.gov/ecfs/document/view?id=7520943657","Universal Academy District Comment on NPRM changes to Email and Web Hosting (1 page)")</f>
        <v>Universal Academy District Comment on NPRM changes to Email and Web Hosting (1 page)</v>
      </c>
    </row>
    <row r="678" spans="1:8" ht="12.75">
      <c r="A678" s="4" t="s">
        <v>6</v>
      </c>
      <c r="B678" s="4" t="s">
        <v>1100</v>
      </c>
      <c r="C678" s="4" t="s">
        <v>870</v>
      </c>
      <c r="D678" s="4" t="s">
        <v>9</v>
      </c>
      <c r="E678" s="4" t="s">
        <v>9</v>
      </c>
      <c r="F678" s="4" t="s">
        <v>10</v>
      </c>
      <c r="G678" s="4" t="s">
        <v>11</v>
      </c>
      <c r="H678" s="7" t="str">
        <f>HYPERLINK("http://apps.fcc.gov/ecfs/document/view?id=7520944174","  (2 pages)")</f>
        <v>  (2 pages)</v>
      </c>
    </row>
    <row r="679" spans="1:8" ht="12.75">
      <c r="A679" s="4" t="s">
        <v>6</v>
      </c>
      <c r="B679" s="4" t="s">
        <v>968</v>
      </c>
      <c r="C679" s="4" t="s">
        <v>715</v>
      </c>
      <c r="D679" s="4" t="s">
        <v>707</v>
      </c>
      <c r="E679" s="4" t="s">
        <v>707</v>
      </c>
      <c r="F679" s="4" t="s">
        <v>10</v>
      </c>
      <c r="G679" s="4" t="s">
        <v>11</v>
      </c>
      <c r="H679" s="7" t="str">
        <f>HYPERLINK("http://apps.fcc.gov/ecfs/document/view?id=7520941347","  (1 page)")</f>
        <v>  (1 page)</v>
      </c>
    </row>
    <row r="680" spans="1:8" ht="12.75">
      <c r="A680" s="4" t="s">
        <v>6</v>
      </c>
      <c r="B680" s="4" t="s">
        <v>37</v>
      </c>
      <c r="C680" s="4" t="s">
        <v>8</v>
      </c>
      <c r="D680" s="4" t="s">
        <v>21</v>
      </c>
      <c r="E680" s="4" t="s">
        <v>9</v>
      </c>
      <c r="F680" s="4" t="s">
        <v>10</v>
      </c>
      <c r="G680" s="4" t="s">
        <v>11</v>
      </c>
      <c r="H680" s="7" t="str">
        <f>HYPERLINK("http://apps.fcc.gov/ecfs/document/view?id=7520944009","Initial Comments (3 pages)")</f>
        <v>Initial Comments (3 pages)</v>
      </c>
    </row>
    <row r="681" spans="1:8" ht="12.75">
      <c r="A681" s="4" t="s">
        <v>6</v>
      </c>
      <c r="B681" s="4" t="s">
        <v>268</v>
      </c>
      <c r="C681" s="4" t="s">
        <v>8</v>
      </c>
      <c r="D681" s="4" t="s">
        <v>21</v>
      </c>
      <c r="E681" s="4" t="s">
        <v>21</v>
      </c>
      <c r="F681" s="4" t="s">
        <v>10</v>
      </c>
      <c r="G681" s="4" t="s">
        <v>11</v>
      </c>
      <c r="H681" s="7" t="str">
        <f>HYPERLINK("http://apps.fcc.gov/ecfs/document/view?id=7520943844","  (20 pages)")</f>
        <v>  (20 pages)</v>
      </c>
    </row>
    <row r="682" spans="1:12" ht="12.75">
      <c r="A682" t="s">
        <v>6</v>
      </c>
      <c r="B682" s="4" t="s">
        <v>1125</v>
      </c>
      <c r="C682" t="s">
        <v>8</v>
      </c>
      <c r="D682" t="s">
        <v>1070</v>
      </c>
      <c r="E682" t="s">
        <v>1109</v>
      </c>
      <c r="F682" t="s">
        <v>10</v>
      </c>
      <c r="G682" t="s">
        <v>11</v>
      </c>
      <c r="H682" s="1" t="str">
        <f>HYPERLINK("http://apps.fcc.gov/ecfs/document/view?id=7520944432","  (1 page)")</f>
        <v>  (1 page)</v>
      </c>
      <c r="I682"/>
      <c r="J682"/>
      <c r="K682"/>
      <c r="L682"/>
    </row>
    <row r="683" spans="1:8" ht="12.75">
      <c r="A683" s="4" t="s">
        <v>6</v>
      </c>
      <c r="B683" s="4" t="s">
        <v>36</v>
      </c>
      <c r="C683" s="4" t="s">
        <v>8</v>
      </c>
      <c r="D683" s="4" t="s">
        <v>21</v>
      </c>
      <c r="E683" s="4" t="s">
        <v>9</v>
      </c>
      <c r="F683" s="4" t="s">
        <v>10</v>
      </c>
      <c r="G683" s="4" t="s">
        <v>11</v>
      </c>
      <c r="H683" s="7" t="str">
        <f>HYPERLINK("http://apps.fcc.gov/ecfs/document/view?id=7520944004","  (5 pages)")</f>
        <v>  (5 pages)</v>
      </c>
    </row>
    <row r="684" spans="1:8" ht="12.75">
      <c r="A684" s="4" t="s">
        <v>6</v>
      </c>
      <c r="B684" s="4" t="s">
        <v>35</v>
      </c>
      <c r="C684" s="4" t="s">
        <v>8</v>
      </c>
      <c r="D684" s="4" t="s">
        <v>21</v>
      </c>
      <c r="E684" s="4" t="s">
        <v>9</v>
      </c>
      <c r="F684" s="4" t="s">
        <v>10</v>
      </c>
      <c r="G684" s="4" t="s">
        <v>11</v>
      </c>
      <c r="H684" s="7" t="str">
        <f>HYPERLINK("http://apps.fcc.gov/ecfs/document/view?id=7520944041","  (40 pages)")</f>
        <v>  (40 pages)</v>
      </c>
    </row>
    <row r="685" spans="1:8" ht="12.75">
      <c r="A685" s="4" t="s">
        <v>6</v>
      </c>
      <c r="B685" s="4" t="s">
        <v>899</v>
      </c>
      <c r="C685" s="4" t="s">
        <v>124</v>
      </c>
      <c r="D685" s="4" t="s">
        <v>21</v>
      </c>
      <c r="E685" s="4" t="s">
        <v>9</v>
      </c>
      <c r="F685" s="4" t="s">
        <v>10</v>
      </c>
      <c r="G685" s="4" t="s">
        <v>11</v>
      </c>
      <c r="H685" s="7" t="str">
        <f>HYPERLINK("http://apps.fcc.gov/ecfs/document/view?id=7520944119","  (1 page)")</f>
        <v>  (1 page)</v>
      </c>
    </row>
    <row r="686" spans="1:8" ht="12.75">
      <c r="A686" s="4" t="s">
        <v>6</v>
      </c>
      <c r="B686" s="4" t="s">
        <v>311</v>
      </c>
      <c r="C686" s="4" t="s">
        <v>8</v>
      </c>
      <c r="D686" s="4" t="s">
        <v>21</v>
      </c>
      <c r="E686" s="4" t="s">
        <v>21</v>
      </c>
      <c r="F686" s="4" t="s">
        <v>10</v>
      </c>
      <c r="G686" s="4" t="s">
        <v>11</v>
      </c>
      <c r="H686" s="7" t="str">
        <f>HYPERLINK("http://apps.fcc.gov/ecfs/document/view?id=7520943772","  (4 pages)")</f>
        <v>  (4 pages)</v>
      </c>
    </row>
    <row r="687" spans="1:8" ht="12.75">
      <c r="A687" s="4" t="s">
        <v>6</v>
      </c>
      <c r="B687" s="4" t="s">
        <v>1095</v>
      </c>
      <c r="C687" s="4" t="s">
        <v>1086</v>
      </c>
      <c r="D687" s="4" t="s">
        <v>1070</v>
      </c>
      <c r="E687" s="4" t="s">
        <v>1070</v>
      </c>
      <c r="F687" s="4" t="s">
        <v>10</v>
      </c>
      <c r="G687" s="4" t="s">
        <v>11</v>
      </c>
      <c r="H687" s="7" t="str">
        <f>HYPERLINK("http://apps.fcc.gov/ecfs/document/view?id=7520944350","  (2 pages)")</f>
        <v>  (2 pages)</v>
      </c>
    </row>
    <row r="688" spans="1:8" ht="12.75">
      <c r="A688" s="4" t="s">
        <v>6</v>
      </c>
      <c r="B688" s="4" t="s">
        <v>826</v>
      </c>
      <c r="C688" s="4" t="s">
        <v>586</v>
      </c>
      <c r="D688" s="4" t="s">
        <v>524</v>
      </c>
      <c r="E688" s="4" t="s">
        <v>524</v>
      </c>
      <c r="F688" s="4" t="s">
        <v>10</v>
      </c>
      <c r="G688" s="4" t="s">
        <v>11</v>
      </c>
      <c r="H688" s="7" t="str">
        <f>HYPERLINK("http://apps.fcc.gov/ecfs/document/view?id=7520943020","Charter School Comments (2 pages)")</f>
        <v>Charter School Comments (2 pages)</v>
      </c>
    </row>
    <row r="689" spans="1:8" ht="12.75">
      <c r="A689" s="4" t="s">
        <v>6</v>
      </c>
      <c r="B689" s="4" t="s">
        <v>335</v>
      </c>
      <c r="C689" s="4" t="s">
        <v>8</v>
      </c>
      <c r="D689" s="4" t="s">
        <v>333</v>
      </c>
      <c r="E689" s="4" t="s">
        <v>21</v>
      </c>
      <c r="F689" s="4" t="s">
        <v>10</v>
      </c>
      <c r="G689" s="4" t="s">
        <v>11</v>
      </c>
      <c r="H689" s="7" t="str">
        <f>HYPERLINK("http://apps.fcc.gov/ecfs/document/view?id=7520943496","  (6 pages)")</f>
        <v>  (6 pages)</v>
      </c>
    </row>
    <row r="690" spans="1:8" ht="12.75">
      <c r="A690" s="4" t="s">
        <v>6</v>
      </c>
      <c r="B690" s="4" t="s">
        <v>911</v>
      </c>
      <c r="C690" s="4" t="s">
        <v>136</v>
      </c>
      <c r="D690" s="4" t="s">
        <v>9</v>
      </c>
      <c r="E690" s="4" t="s">
        <v>9</v>
      </c>
      <c r="F690" s="4" t="s">
        <v>10</v>
      </c>
      <c r="G690" s="4" t="s">
        <v>11</v>
      </c>
      <c r="H690" s="7" t="str">
        <f>HYPERLINK("http://apps.fcc.gov/ecfs/document/view?id=7520944250","  (1 page)")</f>
        <v>  (1 page)</v>
      </c>
    </row>
    <row r="691" spans="1:8" ht="12.75">
      <c r="A691" s="4" t="s">
        <v>6</v>
      </c>
      <c r="B691" s="4" t="s">
        <v>289</v>
      </c>
      <c r="D691" s="4" t="s">
        <v>21</v>
      </c>
      <c r="E691" s="4" t="s">
        <v>21</v>
      </c>
      <c r="F691" s="4" t="s">
        <v>10</v>
      </c>
      <c r="G691" s="4" t="s">
        <v>11</v>
      </c>
      <c r="H691" s="7" t="str">
        <f>HYPERLINK("http://apps.fcc.gov/ecfs/document/view?id=7520943800","Wagon Mound Public Schools Comments on NPRM changes to Email and Web Hosting (1 page)")</f>
        <v>Wagon Mound Public Schools Comments on NPRM changes to Email and Web Hosting (1 page)</v>
      </c>
    </row>
    <row r="692" spans="1:8" ht="12.75">
      <c r="A692" s="4" t="s">
        <v>6</v>
      </c>
      <c r="B692" s="4" t="s">
        <v>334</v>
      </c>
      <c r="C692" s="4" t="s">
        <v>8</v>
      </c>
      <c r="D692" s="4" t="s">
        <v>21</v>
      </c>
      <c r="E692" s="4" t="s">
        <v>21</v>
      </c>
      <c r="F692" s="4" t="s">
        <v>10</v>
      </c>
      <c r="G692" s="4" t="s">
        <v>11</v>
      </c>
      <c r="H692" s="7" t="str">
        <f>HYPERLINK("http://apps.fcc.gov/ecfs/document/view?id=7520943710","  (1 page)")</f>
        <v>  (1 page)</v>
      </c>
    </row>
    <row r="693" spans="1:8" ht="12.75">
      <c r="A693" s="4" t="s">
        <v>6</v>
      </c>
      <c r="B693" s="4" t="s">
        <v>33</v>
      </c>
      <c r="C693" s="4" t="s">
        <v>8</v>
      </c>
      <c r="D693" s="4" t="s">
        <v>21</v>
      </c>
      <c r="E693" s="4" t="s">
        <v>9</v>
      </c>
      <c r="F693" s="4" t="s">
        <v>10</v>
      </c>
      <c r="G693" s="4" t="s">
        <v>11</v>
      </c>
      <c r="H693" s="7" t="str">
        <f>HYPERLINK("http://apps.fcc.gov/ecfs/document/view?id=7520944061","Comment letter (2 pages)")</f>
        <v>Comment letter (2 pages)</v>
      </c>
    </row>
    <row r="694" spans="1:8" ht="12.75">
      <c r="A694" s="4" t="s">
        <v>6</v>
      </c>
      <c r="B694" s="4" t="s">
        <v>699</v>
      </c>
      <c r="C694" s="4" t="s">
        <v>8</v>
      </c>
      <c r="D694" s="4" t="s">
        <v>685</v>
      </c>
      <c r="E694" s="4" t="s">
        <v>685</v>
      </c>
      <c r="F694" s="4" t="s">
        <v>10</v>
      </c>
      <c r="G694" s="4" t="s">
        <v>11</v>
      </c>
      <c r="H694" s="7" t="str">
        <f>HYPERLINK("http://apps.fcc.gov/ecfs/document/view?id=7520942242","E rate letter (2 pages)")</f>
        <v>E rate letter (2 pages)</v>
      </c>
    </row>
    <row r="695" spans="1:8" ht="12.75">
      <c r="A695" s="4" t="s">
        <v>6</v>
      </c>
      <c r="B695" s="4" t="s">
        <v>1028</v>
      </c>
      <c r="C695" s="4" t="s">
        <v>550</v>
      </c>
      <c r="D695" s="4" t="s">
        <v>524</v>
      </c>
      <c r="E695" s="4" t="s">
        <v>333</v>
      </c>
      <c r="F695" s="4" t="s">
        <v>10</v>
      </c>
      <c r="G695" s="4" t="s">
        <v>11</v>
      </c>
      <c r="H695" s="7" t="str">
        <f>HYPERLINK("http://apps.fcc.gov/ecfs/document/view?id=7520943159"," (1 page)")</f>
        <v> (1 page)</v>
      </c>
    </row>
    <row r="696" spans="1:9" ht="12.75">
      <c r="A696" s="4" t="s">
        <v>6</v>
      </c>
      <c r="B696" s="4" t="s">
        <v>659</v>
      </c>
      <c r="C696" s="4" t="s">
        <v>593</v>
      </c>
      <c r="D696" s="4" t="s">
        <v>524</v>
      </c>
      <c r="E696" s="4" t="s">
        <v>524</v>
      </c>
      <c r="F696" s="4" t="s">
        <v>10</v>
      </c>
      <c r="G696" s="4" t="s">
        <v>11</v>
      </c>
      <c r="H696" s="7" t="str">
        <f>HYPERLINK("http://apps.fcc.gov/ecfs/document/view?id=7520943021","District School Comment on E Rate NPRM  (1 page)")</f>
        <v>District School Comment on E Rate NPRM  (1 page)</v>
      </c>
      <c r="I696" s="7" t="str">
        <f>HYPERLINK("http://apps.fcc.gov/ecfs/document/view?id=7520942834","Wawasee Community School Corporation Comment on NPRM changes to Email and Web Ho (2 pages)")</f>
        <v>Wawasee Community School Corporation Comment on NPRM changes to Email and Web Ho (2 pages)</v>
      </c>
    </row>
    <row r="697" spans="1:9" ht="12.75">
      <c r="A697" s="4" t="s">
        <v>6</v>
      </c>
      <c r="B697" s="4" t="s">
        <v>904</v>
      </c>
      <c r="C697" s="4" t="s">
        <v>1068</v>
      </c>
      <c r="D697" s="4" t="s">
        <v>333</v>
      </c>
      <c r="E697" s="4" t="s">
        <v>333</v>
      </c>
      <c r="F697" s="4" t="s">
        <v>10</v>
      </c>
      <c r="G697" s="4" t="s">
        <v>11</v>
      </c>
      <c r="H697" s="7" t="str">
        <f>HYPERLINK("http://apps.fcc.gov/ecfs/document/view?id=7520943417","  (1 page)")</f>
        <v>  (1 page)</v>
      </c>
      <c r="I697" s="7" t="str">
        <f>HYPERLINK("http://apps.fcc.gov/ecfs/document/view?id=7520943448","  (1 page)")</f>
        <v>  (1 page)</v>
      </c>
    </row>
    <row r="698" spans="1:8" ht="12.75">
      <c r="A698" s="4" t="s">
        <v>6</v>
      </c>
      <c r="B698" s="4" t="s">
        <v>30</v>
      </c>
      <c r="C698" s="4" t="s">
        <v>8</v>
      </c>
      <c r="D698" s="4" t="s">
        <v>21</v>
      </c>
      <c r="E698" s="4" t="s">
        <v>9</v>
      </c>
      <c r="F698" s="4" t="s">
        <v>10</v>
      </c>
      <c r="G698" s="4" t="s">
        <v>11</v>
      </c>
      <c r="H698" s="7" t="str">
        <f>HYPERLINK("http://apps.fcc.gov/ecfs/document/view?id=7520944018","Weslaco ISD Comments (13 pages)")</f>
        <v>Weslaco ISD Comments (13 pages)</v>
      </c>
    </row>
    <row r="699" spans="1:8" ht="12.75">
      <c r="A699" s="4" t="s">
        <v>6</v>
      </c>
      <c r="B699" s="4" t="s">
        <v>756</v>
      </c>
      <c r="C699" s="4" t="s">
        <v>8</v>
      </c>
      <c r="D699" s="4" t="s">
        <v>755</v>
      </c>
      <c r="E699" s="4" t="s">
        <v>755</v>
      </c>
      <c r="F699" s="4" t="s">
        <v>10</v>
      </c>
      <c r="G699" s="4" t="s">
        <v>11</v>
      </c>
      <c r="H699" s="7" t="str">
        <f>HYPERLINK("http://apps.fcc.gov/ecfs/document/view?id=7520939842"," (1 page)")</f>
        <v> (1 page)</v>
      </c>
    </row>
    <row r="700" spans="1:8" ht="12.75">
      <c r="A700" s="4" t="s">
        <v>6</v>
      </c>
      <c r="B700" s="4" t="s">
        <v>29</v>
      </c>
      <c r="C700" s="4" t="s">
        <v>8</v>
      </c>
      <c r="D700" s="4" t="s">
        <v>21</v>
      </c>
      <c r="E700" s="4" t="s">
        <v>9</v>
      </c>
      <c r="F700" s="4" t="s">
        <v>10</v>
      </c>
      <c r="G700" s="4" t="s">
        <v>11</v>
      </c>
      <c r="H700" s="7" t="str">
        <f>HYPERLINK("http://apps.fcc.gov/ecfs/document/view?id=7520943995","  (164 pages)")</f>
        <v>  (164 pages)</v>
      </c>
    </row>
    <row r="701" spans="1:8" ht="12.75">
      <c r="A701" s="4" t="s">
        <v>6</v>
      </c>
      <c r="B701" s="4" t="s">
        <v>330</v>
      </c>
      <c r="C701" s="4" t="s">
        <v>8</v>
      </c>
      <c r="D701" s="4" t="s">
        <v>21</v>
      </c>
      <c r="E701" s="4" t="s">
        <v>21</v>
      </c>
      <c r="F701" s="4" t="s">
        <v>10</v>
      </c>
      <c r="G701" s="4" t="s">
        <v>11</v>
      </c>
      <c r="H701" s="7" t="str">
        <f>HYPERLINK("http://apps.fcc.gov/ecfs/document/view?id=7520943717","  (2 pages)")</f>
        <v>  (2 pages)</v>
      </c>
    </row>
    <row r="702" spans="1:8" ht="12.75">
      <c r="A702" s="4" t="s">
        <v>6</v>
      </c>
      <c r="B702" s="4" t="s">
        <v>684</v>
      </c>
      <c r="C702" s="4" t="s">
        <v>8</v>
      </c>
      <c r="D702" s="4" t="s">
        <v>685</v>
      </c>
      <c r="E702" s="4" t="s">
        <v>673</v>
      </c>
      <c r="F702" s="4" t="s">
        <v>10</v>
      </c>
      <c r="G702" s="4" t="s">
        <v>11</v>
      </c>
      <c r="H702" s="7" t="str">
        <f>HYPERLINK("http://apps.fcc.gov/ecfs/document/view?id=7520942268","Whiteville City Schools Comment on NPRM changes to Email and Web Hosting (1 page)")</f>
        <v>Whiteville City Schools Comment on NPRM changes to Email and Web Hosting (1 page)</v>
      </c>
    </row>
    <row r="703" spans="1:8" ht="12.75">
      <c r="A703" s="4" t="s">
        <v>6</v>
      </c>
      <c r="B703" s="4" t="s">
        <v>769</v>
      </c>
      <c r="C703" s="4" t="s">
        <v>8</v>
      </c>
      <c r="D703" s="4" t="s">
        <v>770</v>
      </c>
      <c r="E703" s="4" t="s">
        <v>768</v>
      </c>
      <c r="F703" s="4" t="s">
        <v>10</v>
      </c>
      <c r="G703" s="4" t="s">
        <v>11</v>
      </c>
      <c r="H703" s="7" t="str">
        <f>HYPERLINK("http://apps.fcc.gov/ecfs/document/view?id=7520938412"," (1 page)")</f>
        <v> (1 page)</v>
      </c>
    </row>
    <row r="704" spans="1:8" ht="12.75">
      <c r="A704" s="4" t="s">
        <v>6</v>
      </c>
      <c r="B704" s="4" t="s">
        <v>28</v>
      </c>
      <c r="C704" s="4" t="s">
        <v>8</v>
      </c>
      <c r="D704" s="4" t="s">
        <v>21</v>
      </c>
      <c r="E704" s="4" t="s">
        <v>9</v>
      </c>
      <c r="F704" s="4" t="s">
        <v>10</v>
      </c>
      <c r="G704" s="4" t="s">
        <v>11</v>
      </c>
      <c r="H704" s="7" t="str">
        <f>HYPERLINK("http://apps.fcc.gov/ecfs/document/view?id=7520943870","  (9 pages)")</f>
        <v>  (9 pages)</v>
      </c>
    </row>
    <row r="705" spans="1:8" ht="12.75">
      <c r="A705" s="4" t="s">
        <v>6</v>
      </c>
      <c r="B705" s="4" t="s">
        <v>329</v>
      </c>
      <c r="C705" s="4" t="s">
        <v>8</v>
      </c>
      <c r="D705" s="4" t="s">
        <v>21</v>
      </c>
      <c r="E705" s="4" t="s">
        <v>21</v>
      </c>
      <c r="F705" s="4" t="s">
        <v>10</v>
      </c>
      <c r="G705" s="4" t="s">
        <v>11</v>
      </c>
      <c r="H705" s="7" t="str">
        <f>HYPERLINK("http://apps.fcc.gov/ecfs/document/view?id=7520943720","  (1 page)")</f>
        <v>  (1 page)</v>
      </c>
    </row>
    <row r="706" spans="1:8" ht="12.75">
      <c r="A706" s="4" t="s">
        <v>6</v>
      </c>
      <c r="B706" s="4" t="s">
        <v>26</v>
      </c>
      <c r="C706" s="4" t="s">
        <v>27</v>
      </c>
      <c r="D706" s="4" t="s">
        <v>21</v>
      </c>
      <c r="E706" s="4" t="s">
        <v>9</v>
      </c>
      <c r="F706" s="4" t="s">
        <v>10</v>
      </c>
      <c r="G706" s="4" t="s">
        <v>11</v>
      </c>
      <c r="H706" s="7" t="str">
        <f>HYPERLINK("http://apps.fcc.gov/ecfs/document/view?id=7520943924","  (7 pages)")</f>
        <v>  (7 pages)</v>
      </c>
    </row>
    <row r="707" spans="1:8" ht="12.75">
      <c r="A707" s="4" t="s">
        <v>6</v>
      </c>
      <c r="B707" s="4" t="s">
        <v>328</v>
      </c>
      <c r="C707" s="4" t="s">
        <v>8</v>
      </c>
      <c r="D707" s="4" t="s">
        <v>21</v>
      </c>
      <c r="E707" s="4" t="s">
        <v>21</v>
      </c>
      <c r="F707" s="4" t="s">
        <v>10</v>
      </c>
      <c r="G707" s="4" t="s">
        <v>11</v>
      </c>
      <c r="H707" s="7" t="str">
        <f>HYPERLINK("http://apps.fcc.gov/ecfs/document/view?id=7520943611","  (18 pages)")</f>
        <v>  (18 pages)</v>
      </c>
    </row>
    <row r="708" spans="1:8" ht="12.75">
      <c r="A708" s="4" t="s">
        <v>6</v>
      </c>
      <c r="B708" s="4" t="s">
        <v>921</v>
      </c>
      <c r="C708" s="4" t="s">
        <v>691</v>
      </c>
      <c r="D708" s="4" t="s">
        <v>673</v>
      </c>
      <c r="E708" s="4" t="s">
        <v>673</v>
      </c>
      <c r="F708" s="4" t="s">
        <v>10</v>
      </c>
      <c r="G708" s="4" t="s">
        <v>11</v>
      </c>
      <c r="H708" s="7" t="str">
        <f>HYPERLINK("http://apps.fcc.gov/ecfs/document/view?id=7520942520","  (1 page)")</f>
        <v>  (1 page)</v>
      </c>
    </row>
    <row r="709" spans="1:8" ht="12.75">
      <c r="A709" s="4" t="s">
        <v>6</v>
      </c>
      <c r="B709" s="4" t="s">
        <v>25</v>
      </c>
      <c r="C709" s="4" t="s">
        <v>8</v>
      </c>
      <c r="D709" s="4" t="s">
        <v>21</v>
      </c>
      <c r="E709" s="4" t="s">
        <v>9</v>
      </c>
      <c r="F709" s="4" t="s">
        <v>10</v>
      </c>
      <c r="G709" s="4" t="s">
        <v>11</v>
      </c>
      <c r="H709" s="7" t="str">
        <f>HYPERLINK("http://apps.fcc.gov/ecfs/document/view?id=7520943964","Wisconsin Rapids Public Schools Comment on NPRM changes to Erate Funding (1 page)")</f>
        <v>Wisconsin Rapids Public Schools Comment on NPRM changes to Erate Funding (1 page)</v>
      </c>
    </row>
    <row r="710" spans="1:8" ht="12.75">
      <c r="A710" s="4" t="s">
        <v>6</v>
      </c>
      <c r="B710" s="4" t="s">
        <v>823</v>
      </c>
      <c r="C710" s="4" t="s">
        <v>338</v>
      </c>
      <c r="D710" s="4" t="s">
        <v>333</v>
      </c>
      <c r="E710" s="4" t="s">
        <v>21</v>
      </c>
      <c r="F710" s="4" t="s">
        <v>10</v>
      </c>
      <c r="G710" s="4" t="s">
        <v>11</v>
      </c>
      <c r="H710" s="7" t="str">
        <f>HYPERLINK("http://apps.fcc.gov/ecfs/document/view?id=7520943489","ERate Letter from Tricia Louis Wonewoc Union Center School District (1 page)")</f>
        <v>ERate Letter from Tricia Louis Wonewoc Union Center School District (1 page)</v>
      </c>
    </row>
    <row r="711" spans="1:8" ht="12.75">
      <c r="A711" s="4" t="s">
        <v>6</v>
      </c>
      <c r="B711" s="4" t="s">
        <v>310</v>
      </c>
      <c r="C711" s="4" t="s">
        <v>8</v>
      </c>
      <c r="D711" s="4" t="s">
        <v>21</v>
      </c>
      <c r="E711" s="4" t="s">
        <v>21</v>
      </c>
      <c r="F711" s="4" t="s">
        <v>10</v>
      </c>
      <c r="G711" s="4" t="s">
        <v>11</v>
      </c>
      <c r="H711" s="7" t="str">
        <f>HYPERLINK("http://apps.fcc.gov/ecfs/document/view?id=7520943766","  (7 pages)")</f>
        <v>  (7 pages)</v>
      </c>
    </row>
    <row r="712" spans="1:8" ht="12.75">
      <c r="A712" s="4" t="s">
        <v>6</v>
      </c>
      <c r="B712" s="4" t="s">
        <v>23</v>
      </c>
      <c r="C712" s="4" t="s">
        <v>159</v>
      </c>
      <c r="D712" s="4" t="s">
        <v>21</v>
      </c>
      <c r="E712" s="4" t="s">
        <v>9</v>
      </c>
      <c r="F712" s="4" t="s">
        <v>10</v>
      </c>
      <c r="G712" s="4" t="s">
        <v>11</v>
      </c>
      <c r="H712" s="7" t="str">
        <f>HYPERLINK("http://apps.fcc.gov/ecfs/document/view?id=7520943980","  (4 pages)")</f>
        <v>  (4 pages)</v>
      </c>
    </row>
    <row r="713" spans="1:8" ht="12.75">
      <c r="A713" s="4" t="s">
        <v>6</v>
      </c>
      <c r="B713" s="4" t="s">
        <v>948</v>
      </c>
      <c r="C713" s="4" t="s">
        <v>539</v>
      </c>
      <c r="D713" s="4" t="s">
        <v>333</v>
      </c>
      <c r="E713" s="4" t="s">
        <v>333</v>
      </c>
      <c r="F713" s="4" t="s">
        <v>10</v>
      </c>
      <c r="G713" s="4" t="s">
        <v>11</v>
      </c>
      <c r="H713" s="7" t="str">
        <f>HYPERLINK("http://apps.fcc.gov/ecfs/document/view?id=7520943223","Yorktown CS on ERATE (1 page)")</f>
        <v>Yorktown CS on ERATE (1 page)</v>
      </c>
    </row>
    <row r="714" spans="1:8" ht="12.75">
      <c r="A714" s="4" t="s">
        <v>6</v>
      </c>
      <c r="B714" s="4" t="s">
        <v>916</v>
      </c>
      <c r="C714" s="4" t="s">
        <v>754</v>
      </c>
      <c r="D714" s="4" t="s">
        <v>755</v>
      </c>
      <c r="E714" s="4" t="s">
        <v>750</v>
      </c>
      <c r="F714" s="4" t="s">
        <v>10</v>
      </c>
      <c r="G714" s="4" t="s">
        <v>11</v>
      </c>
      <c r="H714" s="7" t="str">
        <f>HYPERLINK("http://apps.fcc.gov/ecfs/document/view?id=7520939931"," (1 page)")</f>
        <v> (1 page)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1.57421875" style="0" customWidth="1"/>
    <col min="2" max="2" width="50.00390625" style="4" customWidth="1"/>
    <col min="3" max="3" width="43.140625" style="0" customWidth="1"/>
    <col min="4" max="4" width="14.57421875" style="0" customWidth="1"/>
    <col min="5" max="5" width="12.421875" style="0" customWidth="1"/>
    <col min="6" max="6" width="8.140625" style="0" customWidth="1"/>
    <col min="7" max="7" width="15.8515625" style="0" customWidth="1"/>
    <col min="8" max="8" width="39.00390625" style="0" customWidth="1"/>
    <col min="9" max="11" width="16.00390625" style="0" customWidth="1"/>
    <col min="12" max="12" width="39.00390625" style="11" hidden="1" customWidth="1"/>
    <col min="13" max="15" width="18.28125" style="0" hidden="1" customWidth="1"/>
    <col min="16" max="17" width="16.00390625" style="0" customWidth="1"/>
  </cols>
  <sheetData>
    <row r="1" spans="1:15" ht="12.75">
      <c r="A1" s="2" t="s">
        <v>806</v>
      </c>
      <c r="B1" s="6" t="s">
        <v>0</v>
      </c>
      <c r="C1" s="2" t="s">
        <v>813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1158</v>
      </c>
      <c r="I1" s="2" t="s">
        <v>1158</v>
      </c>
      <c r="J1" s="2" t="s">
        <v>1158</v>
      </c>
      <c r="K1" s="2" t="s">
        <v>1158</v>
      </c>
      <c r="L1" s="10" t="s">
        <v>1159</v>
      </c>
      <c r="M1" s="2" t="s">
        <v>1159</v>
      </c>
      <c r="N1" s="2" t="s">
        <v>1159</v>
      </c>
      <c r="O1" s="2" t="s">
        <v>1159</v>
      </c>
    </row>
    <row r="2" spans="1:15" ht="12.75">
      <c r="A2" s="2"/>
      <c r="B2" s="6"/>
      <c r="C2" s="2"/>
      <c r="D2" s="2"/>
      <c r="E2" s="2"/>
      <c r="F2" s="2"/>
      <c r="G2" s="2"/>
      <c r="H2" s="2"/>
      <c r="L2" s="10"/>
      <c r="M2" s="2"/>
      <c r="N2" s="2"/>
      <c r="O2" s="2"/>
    </row>
    <row r="3" spans="1:15" ht="12.75">
      <c r="A3" s="5" t="s">
        <v>1101</v>
      </c>
      <c r="B3" s="6"/>
      <c r="C3" s="2"/>
      <c r="D3" s="2"/>
      <c r="E3" s="2"/>
      <c r="F3" s="2"/>
      <c r="G3" s="2"/>
      <c r="H3" s="2"/>
      <c r="M3" s="2"/>
      <c r="N3" s="2"/>
      <c r="O3" s="2"/>
    </row>
    <row r="4" spans="1:12" ht="12.75">
      <c r="A4" t="s">
        <v>6</v>
      </c>
      <c r="B4" s="4" t="s">
        <v>815</v>
      </c>
      <c r="C4" t="s">
        <v>753</v>
      </c>
      <c r="D4" t="s">
        <v>750</v>
      </c>
      <c r="E4" t="s">
        <v>750</v>
      </c>
      <c r="F4" t="s">
        <v>10</v>
      </c>
      <c r="G4" t="s">
        <v>11</v>
      </c>
      <c r="H4" s="1" t="str">
        <f>HYPERLINK("http://apps.fcc.gov/ecfs/document/view?id=7520940045","AASA NPRM Comments (4 pages)")</f>
        <v>AASA NPRM Comments (4 pages)</v>
      </c>
      <c r="L4" s="12" t="str">
        <f>HYPERLINK("http://www.e-ratecentral.com/FCC/ERate20NPRMComments/pdf/AASA E-Rate NPRM Comments 081613.pdf","AASA/AESA (4 pages)")</f>
        <v>AASA/AESA (4 pages)</v>
      </c>
    </row>
    <row r="5" spans="1:8" ht="12.75">
      <c r="A5" t="s">
        <v>6</v>
      </c>
      <c r="B5" s="4" t="s">
        <v>831</v>
      </c>
      <c r="C5" t="s">
        <v>393</v>
      </c>
      <c r="D5" t="s">
        <v>333</v>
      </c>
      <c r="E5" t="s">
        <v>333</v>
      </c>
      <c r="F5" t="s">
        <v>10</v>
      </c>
      <c r="G5" t="s">
        <v>11</v>
      </c>
      <c r="H5" s="1" t="str">
        <f>HYPERLINK("http://apps.fcc.gov/ecfs/document/view?id=7520943291","  (3 pages)")</f>
        <v>  (3 pages)</v>
      </c>
    </row>
    <row r="6" spans="1:12" ht="12.75">
      <c r="A6" t="s">
        <v>6</v>
      </c>
      <c r="B6" s="4" t="s">
        <v>387</v>
      </c>
      <c r="D6" t="s">
        <v>21</v>
      </c>
      <c r="E6" t="s">
        <v>21</v>
      </c>
      <c r="F6" t="s">
        <v>10</v>
      </c>
      <c r="G6" t="s">
        <v>11</v>
      </c>
      <c r="H6" s="1" t="str">
        <f>HYPERLINK("http://apps.fcc.gov/ecfs/document/view?id=7520943516","  (6 pages)")</f>
        <v>  (6 pages)</v>
      </c>
      <c r="L6" s="12" t="str">
        <f>HYPERLINK("http://www.e-ratecentral.com/FCC/ERate20NPRMComments/pdf/91613adtec.pdf","AdTec, Inc. (6 pages)")</f>
        <v>AdTec, Inc. (6 pages)</v>
      </c>
    </row>
    <row r="7" spans="1:12" ht="12.75">
      <c r="A7" t="s">
        <v>6</v>
      </c>
      <c r="B7" s="4" t="s">
        <v>266</v>
      </c>
      <c r="C7" t="s">
        <v>267</v>
      </c>
      <c r="D7" t="s">
        <v>21</v>
      </c>
      <c r="E7" t="s">
        <v>9</v>
      </c>
      <c r="F7" t="s">
        <v>10</v>
      </c>
      <c r="G7" t="s">
        <v>11</v>
      </c>
      <c r="H7" s="1" t="str">
        <f>HYPERLINK("http://apps.fcc.gov/ecfs/document/view?id=7520944104","ADTRAN Comments (25 pages)")</f>
        <v>ADTRAN Comments (25 pages)</v>
      </c>
      <c r="L7" s="12" t="str">
        <f>HYPERLINK("http://www.e-ratecentral.com/FCC/ERate20NPRMComments/pdf/ADTRAN.pdf","ADTRAN, Inc. (25 pages)")</f>
        <v>ADTRAN, Inc. (25 pages)</v>
      </c>
    </row>
    <row r="8" spans="1:12" ht="12.75">
      <c r="A8" t="s">
        <v>6</v>
      </c>
      <c r="B8" s="4" t="s">
        <v>264</v>
      </c>
      <c r="D8" t="s">
        <v>21</v>
      </c>
      <c r="E8" t="s">
        <v>9</v>
      </c>
      <c r="F8" t="s">
        <v>10</v>
      </c>
      <c r="G8" t="s">
        <v>11</v>
      </c>
      <c r="H8" s="1" t="str">
        <f>HYPERLINK("http://apps.fcc.gov/ecfs/document/view?id=7520944012","  (19 pages)")</f>
        <v>  (19 pages)</v>
      </c>
      <c r="L8" s="12" t="str">
        <f>HYPERLINK("http://www.e-ratecentral.com/FCC/ERate20NPRMComments/pdf/Alabama.pdf","Alabama Department of Education (19 pages)")</f>
        <v>Alabama Department of Education (19 pages)</v>
      </c>
    </row>
    <row r="9" spans="1:12" ht="12.75">
      <c r="A9" t="s">
        <v>6</v>
      </c>
      <c r="B9" s="4" t="s">
        <v>262</v>
      </c>
      <c r="C9" t="s">
        <v>263</v>
      </c>
      <c r="D9" t="s">
        <v>21</v>
      </c>
      <c r="E9" t="s">
        <v>9</v>
      </c>
      <c r="F9" t="s">
        <v>10</v>
      </c>
      <c r="G9" t="s">
        <v>11</v>
      </c>
      <c r="H9" s="1" t="str">
        <f>HYPERLINK("http://apps.fcc.gov/ecfs/document/view?id=7520943895","ARC E rate Comments (16 pages)")</f>
        <v>ARC E rate Comments (16 pages)</v>
      </c>
      <c r="L9" s="12" t="str">
        <f>HYPERLINK("http://www.e-ratecentral.com/FCC/ERate20NPRMComments/pdf/AlaskaRural.pdf","Alaska Rural Coalition (16 pages)")</f>
        <v>Alaska Rural Coalition (16 pages)</v>
      </c>
    </row>
    <row r="10" spans="1:12" ht="12.75">
      <c r="A10" t="s">
        <v>6</v>
      </c>
      <c r="B10" s="4" t="s">
        <v>260</v>
      </c>
      <c r="D10" t="s">
        <v>21</v>
      </c>
      <c r="E10" t="s">
        <v>9</v>
      </c>
      <c r="F10" t="s">
        <v>10</v>
      </c>
      <c r="G10" t="s">
        <v>11</v>
      </c>
      <c r="H10" s="1" t="str">
        <f>HYPERLINK("http://apps.fcc.gov/ecfs/document/view?id=7520944022","Comments received during the Alliance for Excellent Education E rate 99 in 5 Pet (105 pages)")</f>
        <v>Comments received during the Alliance for Excellent Education E rate 99 in 5 Pet (105 pages)</v>
      </c>
      <c r="I10" s="1" t="str">
        <f>HYPERLINK("http://apps.fcc.gov/ecfs/document/view?id=7520943933","Individuals who signed the Alliance for Excellent Education 99 in 5 Petition on (53 pages)")</f>
        <v>Individuals who signed the Alliance for Excellent Education 99 in 5 Petition on (53 pages)</v>
      </c>
      <c r="J10" s="1" t="str">
        <f>HYPERLINK("http://apps.fcc.gov/ecfs/document/view?id=7520943813","Comments from the Alliance for Excellent Education on WC Docket No 13 184 (14 pages)")</f>
        <v>Comments from the Alliance for Excellent Education on WC Docket No 13 184 (14 pages)</v>
      </c>
      <c r="K10" s="1" t="str">
        <f>HYPERLINK("http://apps.fcc.gov/ecfs/document/view?id=7520944057","Letter calling to modernize simplify and expand E rate (3 pages)")</f>
        <v>Letter calling to modernize simplify and expand E rate (3 pages)</v>
      </c>
      <c r="L10" s="12" t="str">
        <f>HYPERLINK("http://www.e-ratecentral.com/FCC/ERate20NPRMComments/pdf/AEEOfficialE-rateCommentsFCC.pdf","Alliance for Excellent Education (14 pages)")</f>
        <v>Alliance for Excellent Education (14 pages)</v>
      </c>
    </row>
    <row r="11" spans="1:12" ht="12.75">
      <c r="A11" t="s">
        <v>6</v>
      </c>
      <c r="B11" s="4" t="s">
        <v>257</v>
      </c>
      <c r="C11" t="s">
        <v>258</v>
      </c>
      <c r="D11" t="s">
        <v>21</v>
      </c>
      <c r="E11" t="s">
        <v>9</v>
      </c>
      <c r="F11" t="s">
        <v>10</v>
      </c>
      <c r="G11" t="s">
        <v>11</v>
      </c>
      <c r="H11" s="1" t="str">
        <f>HYPERLINK("http://apps.fcc.gov/ecfs/document/view?id=7520943994","  (22 pages)")</f>
        <v>  (22 pages)</v>
      </c>
      <c r="L11" s="12" t="str">
        <f>HYPERLINK("http://www.e-ratecentral.com/FCC/ERate20NPRMComments/pdf/AmericanCableAssn_NPRM_comments_9-16-2013.pdf","American Cable Association (22 pages)")</f>
        <v>American Cable Association (22 pages)</v>
      </c>
    </row>
    <row r="12" spans="1:12" ht="12.75">
      <c r="A12" t="s">
        <v>6</v>
      </c>
      <c r="B12" s="4" t="s">
        <v>255</v>
      </c>
      <c r="D12" t="s">
        <v>21</v>
      </c>
      <c r="E12" t="s">
        <v>9</v>
      </c>
      <c r="F12" t="s">
        <v>10</v>
      </c>
      <c r="G12" t="s">
        <v>11</v>
      </c>
      <c r="H12" s="1" t="str">
        <f>HYPERLINK("http://apps.fcc.gov/ecfs/document/view?id=7520943905","Erate NPRM (10 pages)")</f>
        <v>Erate NPRM (10 pages)</v>
      </c>
      <c r="L12" s="12" t="str">
        <f>HYPERLINK("http://www.e-ratecentral.com/FCC/ERate20NPRMComments/pdf/AmericanERateSolutions_NPRM_Comments_9-16-2013.pdf","American e-Rate Solutions (10 pages)")</f>
        <v>American e-Rate Solutions (10 pages)</v>
      </c>
    </row>
    <row r="13" spans="1:12" ht="12.75">
      <c r="A13" t="s">
        <v>6</v>
      </c>
      <c r="B13" s="4" t="s">
        <v>256</v>
      </c>
      <c r="D13" t="s">
        <v>21</v>
      </c>
      <c r="E13" t="s">
        <v>9</v>
      </c>
      <c r="F13" t="s">
        <v>10</v>
      </c>
      <c r="G13" t="s">
        <v>11</v>
      </c>
      <c r="H13" s="1" t="str">
        <f>HYPERLINK("http://apps.fcc.gov/ecfs/document/view?id=7520944024","  (32 pages)")</f>
        <v>  (32 pages)</v>
      </c>
      <c r="L13" s="12" t="str">
        <f>HYPERLINK("http://www.e-ratecentral.com/FCC/ERate20NPRMComments/pdf/ALA_NPRM_Comments_9-16-2013.pdf","American Library Association (32 pages)")</f>
        <v>American Library Association (32 pages)</v>
      </c>
    </row>
    <row r="14" spans="1:12" ht="12.75">
      <c r="A14" t="s">
        <v>6</v>
      </c>
      <c r="B14" s="4" t="s">
        <v>253</v>
      </c>
      <c r="C14" t="s">
        <v>254</v>
      </c>
      <c r="D14" t="s">
        <v>21</v>
      </c>
      <c r="E14" t="s">
        <v>9</v>
      </c>
      <c r="F14" t="s">
        <v>10</v>
      </c>
      <c r="G14" t="s">
        <v>11</v>
      </c>
      <c r="H14" s="1" t="str">
        <f>HYPERLINK("http://apps.fcc.gov/ecfs/document/view?id=7520944072","  (15 pages)")</f>
        <v>  (15 pages)</v>
      </c>
      <c r="L14" s="12" t="str">
        <f>HYPERLINK("http://www.e-ratecentral.com/FCC/ERate20NPRMComments/pdf/AmplifyEd_NPRM_Comments_9-16-2013.pdf","Amplify Education, Inc. (15 pages)")</f>
        <v>Amplify Education, Inc. (15 pages)</v>
      </c>
    </row>
    <row r="15" spans="1:12" ht="12.75">
      <c r="A15" t="s">
        <v>6</v>
      </c>
      <c r="B15" s="4" t="s">
        <v>628</v>
      </c>
      <c r="D15" t="s">
        <v>598</v>
      </c>
      <c r="E15" t="s">
        <v>524</v>
      </c>
      <c r="F15" t="s">
        <v>10</v>
      </c>
      <c r="G15" t="s">
        <v>11</v>
      </c>
      <c r="H15" s="1" t="str">
        <f>HYPERLINK("http://apps.fcc.gov/ecfs/document/view?id=7520942917","  (3 pages)")</f>
        <v>  (3 pages)</v>
      </c>
      <c r="L15" s="12" t="str">
        <f>HYPERLINK("http://www.e-ratecentral.com/FCC/ERate20NPRMComments/pdf/AppalachiaUnit8_NPRM_Comments_9-16-2013.pdf","Appalachia Intermediate Unit 8 (3 pages)")</f>
        <v>Appalachia Intermediate Unit 8 (3 pages)</v>
      </c>
    </row>
    <row r="16" spans="1:12" ht="12.75">
      <c r="A16" t="s">
        <v>6</v>
      </c>
      <c r="B16" s="4" t="s">
        <v>265</v>
      </c>
      <c r="D16" t="s">
        <v>21</v>
      </c>
      <c r="E16" t="s">
        <v>9</v>
      </c>
      <c r="F16" t="s">
        <v>10</v>
      </c>
      <c r="G16" t="s">
        <v>11</v>
      </c>
      <c r="H16" s="1" t="str">
        <f>HYPERLINK("http://apps.fcc.gov/ecfs/document/view?id=7520943950","  (21 pages)")</f>
        <v>  (21 pages)</v>
      </c>
      <c r="L16" s="12" t="str">
        <f>HYPERLINK("http://www.e-ratecentral.com/FCC/ERate20NPRMComments/pdf/ATT_NPRM_Comments_9-16-2013.pdf","AT&amp;T Inc. (21 pages)")</f>
        <v>AT&amp;T Inc. (21 pages)</v>
      </c>
    </row>
    <row r="17" spans="1:8" ht="12.75">
      <c r="A17" t="s">
        <v>6</v>
      </c>
      <c r="B17" s="4" t="s">
        <v>247</v>
      </c>
      <c r="D17" t="s">
        <v>21</v>
      </c>
      <c r="E17" t="s">
        <v>9</v>
      </c>
      <c r="F17" t="s">
        <v>10</v>
      </c>
      <c r="G17" t="s">
        <v>11</v>
      </c>
      <c r="H17" s="1" t="str">
        <f>HYPERLINK("http://apps.fcc.gov/ecfs/document/view?id=7520944066","Comments on WC Docket No 13 184 (4 pages)")</f>
        <v>Comments on WC Docket No 13 184 (4 pages)</v>
      </c>
    </row>
    <row r="18" spans="1:12" ht="12.75">
      <c r="A18" t="s">
        <v>6</v>
      </c>
      <c r="B18" s="4" t="s">
        <v>244</v>
      </c>
      <c r="D18" t="s">
        <v>21</v>
      </c>
      <c r="E18" t="s">
        <v>9</v>
      </c>
      <c r="F18" t="s">
        <v>10</v>
      </c>
      <c r="G18" t="s">
        <v>11</v>
      </c>
      <c r="H18" s="1" t="str">
        <f>HYPERLINK("http://apps.fcc.gov/ecfs/document/view?id=7520944142","  (14 pages)")</f>
        <v>  (14 pages)</v>
      </c>
      <c r="L18" s="12" t="str">
        <f>HYPERLINK("http://www.e-ratecentral.com/FCC/ERate20NPRMComments/pdf/Benton.pdf","Benton Foundation (14 pages)")</f>
        <v>Benton Foundation (14 pages)</v>
      </c>
    </row>
    <row r="19" spans="1:9" ht="12.75">
      <c r="A19" t="s">
        <v>6</v>
      </c>
      <c r="B19" s="4" t="s">
        <v>243</v>
      </c>
      <c r="D19" t="s">
        <v>21</v>
      </c>
      <c r="E19" t="s">
        <v>9</v>
      </c>
      <c r="F19" t="s">
        <v>10</v>
      </c>
      <c r="G19" t="s">
        <v>11</v>
      </c>
      <c r="H19" s="1" t="str">
        <f>HYPERLINK("http://apps.fcc.gov/ecfs/document/view?id=7520943864","  (5 pages)")</f>
        <v>  (5 pages)</v>
      </c>
      <c r="I19" s="1"/>
    </row>
    <row r="20" spans="1:8" ht="12.75">
      <c r="A20" t="s">
        <v>6</v>
      </c>
      <c r="B20" s="4" t="s">
        <v>325</v>
      </c>
      <c r="D20" t="s">
        <v>21</v>
      </c>
      <c r="E20" t="s">
        <v>21</v>
      </c>
      <c r="F20" t="s">
        <v>10</v>
      </c>
      <c r="G20" t="s">
        <v>11</v>
      </c>
      <c r="H20" s="1" t="str">
        <f>HYPERLINK("http://apps.fcc.gov/ecfs/document/view?id=7520943788","  (3 pages)")</f>
        <v>  (3 pages)</v>
      </c>
    </row>
    <row r="21" spans="1:12" ht="12.75">
      <c r="A21" t="s">
        <v>6</v>
      </c>
      <c r="B21" s="8" t="s">
        <v>1032</v>
      </c>
      <c r="C21" t="s">
        <v>238</v>
      </c>
      <c r="D21" t="s">
        <v>21</v>
      </c>
      <c r="E21" t="s">
        <v>9</v>
      </c>
      <c r="F21" t="s">
        <v>10</v>
      </c>
      <c r="G21" t="s">
        <v>11</v>
      </c>
      <c r="H21" s="1" t="str">
        <f>HYPERLINK("http://apps.fcc.gov/ecfs/document/view?id=7520944008","Bureau of Indian Affairs Education Comments (12 pages)")</f>
        <v>Bureau of Indian Affairs Education Comments (12 pages)</v>
      </c>
      <c r="L21" s="12" t="str">
        <f>HYPERLINK("http://www.e-ratecentral.com/FCC/ERate20NPRMComments/pdf/BureauofIndianAffairs_7520944008.pdf","Bureau of Indian Affairs/Education (12 pages)")</f>
        <v>Bureau of Indian Affairs/Education (12 pages)</v>
      </c>
    </row>
    <row r="22" spans="1:12" ht="12.75">
      <c r="A22" t="s">
        <v>6</v>
      </c>
      <c r="B22" s="4" t="s">
        <v>237</v>
      </c>
      <c r="D22" t="s">
        <v>9</v>
      </c>
      <c r="E22" t="s">
        <v>9</v>
      </c>
      <c r="F22" t="s">
        <v>10</v>
      </c>
      <c r="G22" t="s">
        <v>11</v>
      </c>
      <c r="H22" s="1" t="str">
        <f>HYPERLINK("http://apps.fcc.gov/ecfs/document/view?id=7520944157","  (5 pages)")</f>
        <v>  (5 pages)</v>
      </c>
      <c r="L22" s="12" t="str">
        <f>HYPERLINK("http://www.e-ratecentral.com/FCC/ERate20NPRMComments/pdf/Butte COE Comments.pdf","Butte County Office of Education (5 pages)")</f>
        <v>Butte County Office of Education (5 pages)</v>
      </c>
    </row>
    <row r="23" spans="1:12" ht="12.75">
      <c r="A23" t="s">
        <v>6</v>
      </c>
      <c r="B23" s="4" t="s">
        <v>883</v>
      </c>
      <c r="C23" t="s">
        <v>425</v>
      </c>
      <c r="D23" t="s">
        <v>333</v>
      </c>
      <c r="E23" t="s">
        <v>333</v>
      </c>
      <c r="F23" t="s">
        <v>10</v>
      </c>
      <c r="G23" t="s">
        <v>11</v>
      </c>
      <c r="H23" s="1" t="str">
        <f>HYPERLINK("http://apps.fcc.gov/ecfs/document/view?id=7520943360","CCSA NAPCS Letter (3 pages)")</f>
        <v>CCSA NAPCS Letter (3 pages)</v>
      </c>
      <c r="L23" s="12" t="str">
        <f>HYPERLINK("http://www.e-ratecentral.com/FCC/ERate20NPRMComments/pdf/CalCharterSchoolsAssoc91313.pdf","California Charter Schools Association (CCSA) (3 pages)")</f>
        <v>California Charter Schools Association (CCSA) (3 pages)</v>
      </c>
    </row>
    <row r="24" spans="1:12" ht="12.75">
      <c r="A24" t="s">
        <v>6</v>
      </c>
      <c r="B24" s="4" t="s">
        <v>1102</v>
      </c>
      <c r="D24" t="s">
        <v>21</v>
      </c>
      <c r="E24" t="s">
        <v>9</v>
      </c>
      <c r="F24" t="s">
        <v>10</v>
      </c>
      <c r="G24" t="s">
        <v>11</v>
      </c>
      <c r="H24" s="1" t="str">
        <f>HYPERLINK("http://apps.fcc.gov/ecfs/document/view?id=7520944042","  (3 pages)")</f>
        <v>  (3 pages)</v>
      </c>
      <c r="L24" s="12" t="str">
        <f>HYPERLINK("http://www.e-ratecentral.com/FCC/ERate20NPRMComments/pdf/CCSESA Initial Comments 9-16.pdf","California County Superintendents Educational Services Association (3 pages)")</f>
        <v>California County Superintendents Educational Services Association (3 pages)</v>
      </c>
    </row>
    <row r="25" spans="1:12" ht="12.75">
      <c r="A25" t="s">
        <v>6</v>
      </c>
      <c r="B25" s="4" t="s">
        <v>230</v>
      </c>
      <c r="D25" t="s">
        <v>21</v>
      </c>
      <c r="E25" t="s">
        <v>9</v>
      </c>
      <c r="F25" t="s">
        <v>10</v>
      </c>
      <c r="G25" t="s">
        <v>11</v>
      </c>
      <c r="H25" s="1" t="str">
        <f>HYPERLINK("http://apps.fcc.gov/ecfs/document/view?id=7520944156","  (17 pages)")</f>
        <v>  (17 pages)</v>
      </c>
      <c r="L25" s="12" t="str">
        <f>HYPERLINK("http://www.e-ratecentral.com/FCC/ERate20NPRMComments/pdf/CaliDOE_NPRM_Comments_9-16-2013.pdf","California Department of Education (17 pages)")</f>
        <v>California Department of Education (17 pages)</v>
      </c>
    </row>
    <row r="26" spans="1:12" ht="12.75">
      <c r="A26" t="s">
        <v>6</v>
      </c>
      <c r="B26" s="4" t="s">
        <v>229</v>
      </c>
      <c r="D26" t="s">
        <v>21</v>
      </c>
      <c r="E26" t="s">
        <v>9</v>
      </c>
      <c r="F26" t="s">
        <v>10</v>
      </c>
      <c r="G26" t="s">
        <v>11</v>
      </c>
      <c r="H26" s="1" t="str">
        <f>HYPERLINK("http://apps.fcc.gov/ecfs/document/view?id=7520944080","  (5 pages)")</f>
        <v>  (5 pages)</v>
      </c>
      <c r="L26" s="12" t="str">
        <f>HYPERLINK("http://www.e-ratecentral.com/FCC/ERate20NPRMComments/pdf/CaliSchoolBdsAssn_NPRM_Comments_9-16-2013.pdf","California School Boards Association (5 pages)")</f>
        <v>California School Boards Association (5 pages)</v>
      </c>
    </row>
    <row r="27" spans="1:8" ht="12.75">
      <c r="A27" t="s">
        <v>6</v>
      </c>
      <c r="B27" s="4" t="s">
        <v>228</v>
      </c>
      <c r="D27" t="s">
        <v>21</v>
      </c>
      <c r="E27" t="s">
        <v>9</v>
      </c>
      <c r="F27" t="s">
        <v>10</v>
      </c>
      <c r="G27" t="s">
        <v>11</v>
      </c>
      <c r="H27" s="1" t="str">
        <f>HYPERLINK("http://apps.fcc.gov/ecfs/document/view?id=7520944040","  (4 pages)")</f>
        <v>  (4 pages)</v>
      </c>
    </row>
    <row r="28" spans="1:12" ht="12.75">
      <c r="A28" t="s">
        <v>6</v>
      </c>
      <c r="B28" s="4" t="s">
        <v>381</v>
      </c>
      <c r="D28" t="s">
        <v>21</v>
      </c>
      <c r="E28" t="s">
        <v>21</v>
      </c>
      <c r="F28" t="s">
        <v>10</v>
      </c>
      <c r="G28" t="s">
        <v>11</v>
      </c>
      <c r="H28" s="1" t="str">
        <f>HYPERLINK("http://apps.fcc.gov/ecfs/document/view?id=7520943658","  (9 pages)")</f>
        <v>  (9 pages)</v>
      </c>
      <c r="L28" s="12" t="str">
        <f>HYPERLINK("http://www.e-ratecentral.com/FCC/ERate20NPRMComments/pdf/CarnegieLibPitts91613.pdf","Carnegie Library of Pittsburgh (9 pages)")</f>
        <v>Carnegie Library of Pittsburgh (9 pages)</v>
      </c>
    </row>
    <row r="29" spans="1:12" ht="12.75">
      <c r="A29" t="s">
        <v>6</v>
      </c>
      <c r="B29" s="4" t="s">
        <v>235</v>
      </c>
      <c r="D29" t="s">
        <v>9</v>
      </c>
      <c r="E29" t="s">
        <v>9</v>
      </c>
      <c r="F29" t="s">
        <v>10</v>
      </c>
      <c r="G29" t="s">
        <v>11</v>
      </c>
      <c r="H29" s="1" t="str">
        <f>HYPERLINK("http://apps.fcc.gov/ecfs/document/view?id=7520944196","  (5 pages)")</f>
        <v>  (5 pages)</v>
      </c>
      <c r="L29" s="12" t="str">
        <f>HYPERLINK("http://www.e-ratecentral.com/FCC/ERate20NPRMComments/pdf/CCG Comments.pdf","CCG Consulting (5 pages)")</f>
        <v>CCG Consulting (5 pages)</v>
      </c>
    </row>
    <row r="30" spans="1:12" ht="12.75">
      <c r="A30" t="s">
        <v>6</v>
      </c>
      <c r="B30" s="4" t="s">
        <v>226</v>
      </c>
      <c r="D30" t="s">
        <v>21</v>
      </c>
      <c r="E30" t="s">
        <v>9</v>
      </c>
      <c r="F30" t="s">
        <v>10</v>
      </c>
      <c r="G30" t="s">
        <v>11</v>
      </c>
      <c r="H30" s="1" t="str">
        <f>HYPERLINK("http://apps.fcc.gov/ecfs/document/view?id=7520944000","  (40 pages)")</f>
        <v>  (40 pages)</v>
      </c>
      <c r="L30" s="12" t="str">
        <f>HYPERLINK("http://www.e-ratecentral.com/FCC/ERate20NPRMComments/pdf/CenturyLink.pdf","CenturyLink (40 pages)")</f>
        <v>CenturyLink (40 pages)</v>
      </c>
    </row>
    <row r="31" spans="1:8" ht="12.75">
      <c r="A31" t="s">
        <v>6</v>
      </c>
      <c r="B31" s="4" t="s">
        <v>225</v>
      </c>
      <c r="D31" t="s">
        <v>21</v>
      </c>
      <c r="E31" t="s">
        <v>9</v>
      </c>
      <c r="F31" t="s">
        <v>10</v>
      </c>
      <c r="G31" t="s">
        <v>11</v>
      </c>
      <c r="H31" s="1" t="str">
        <f>HYPERLINK("http://apps.fcc.gov/ecfs/document/view?id=7520944131","Comments in Response to the Notice of Proposed Rulemaking (8 pages)")</f>
        <v>Comments in Response to the Notice of Proposed Rulemaking (8 pages)</v>
      </c>
    </row>
    <row r="32" spans="1:12" ht="12.75">
      <c r="A32" t="s">
        <v>6</v>
      </c>
      <c r="B32" s="4" t="s">
        <v>220</v>
      </c>
      <c r="D32" t="s">
        <v>21</v>
      </c>
      <c r="E32" t="s">
        <v>9</v>
      </c>
      <c r="F32" t="s">
        <v>10</v>
      </c>
      <c r="G32" t="s">
        <v>11</v>
      </c>
      <c r="H32" s="1" t="str">
        <f>HYPERLINK("http://apps.fcc.gov/ecfs/document/view?id=7520944003","  (76 pages)")</f>
        <v>  (76 pages)</v>
      </c>
      <c r="L32" s="12" t="str">
        <f>HYPERLINK("http://www.e-ratecentral.com/FCC/ERate20NPRMComments/pdf/Cisco_NPRM_Comments_9-16-2013.pdf","Cisco Systems, Inc. (76 pages)")</f>
        <v>Cisco Systems, Inc. (76 pages)</v>
      </c>
    </row>
    <row r="33" spans="1:8" ht="12.75">
      <c r="A33" t="s">
        <v>6</v>
      </c>
      <c r="B33" s="4" t="s">
        <v>218</v>
      </c>
      <c r="C33" t="s">
        <v>219</v>
      </c>
      <c r="D33" t="s">
        <v>21</v>
      </c>
      <c r="E33" t="s">
        <v>9</v>
      </c>
      <c r="F33" t="s">
        <v>10</v>
      </c>
      <c r="G33" t="s">
        <v>11</v>
      </c>
      <c r="H33" s="1" t="str">
        <f>HYPERLINK("http://apps.fcc.gov/ecfs/document/view?id=7520943957","  (10 pages)")</f>
        <v>  (10 pages)</v>
      </c>
    </row>
    <row r="34" spans="1:8" ht="12.75">
      <c r="A34" t="s">
        <v>6</v>
      </c>
      <c r="B34" s="4" t="s">
        <v>217</v>
      </c>
      <c r="D34" t="s">
        <v>21</v>
      </c>
      <c r="E34" t="s">
        <v>9</v>
      </c>
      <c r="F34" t="s">
        <v>10</v>
      </c>
      <c r="G34" t="s">
        <v>11</v>
      </c>
      <c r="H34" s="1" t="str">
        <f>HYPERLINK("http://apps.fcc.gov/ecfs/document/view?id=7520943948","  (13 pages)")</f>
        <v>  (13 pages)</v>
      </c>
    </row>
    <row r="35" spans="1:12" ht="12.75">
      <c r="A35" t="s">
        <v>6</v>
      </c>
      <c r="B35" s="4" t="s">
        <v>216</v>
      </c>
      <c r="D35" t="s">
        <v>21</v>
      </c>
      <c r="E35" t="s">
        <v>9</v>
      </c>
      <c r="F35" t="s">
        <v>10</v>
      </c>
      <c r="G35" t="s">
        <v>11</v>
      </c>
      <c r="H35" s="1" t="str">
        <f>HYPERLINK("http://apps.fcc.gov/ecfs/document/view?id=7520944013","Clark County School District Response (28 pages)")</f>
        <v>Clark County School District Response (28 pages)</v>
      </c>
      <c r="L35" s="12" t="str">
        <f>HYPERLINK("http://www.e-ratecentral.com/FCC/ERate20NPRMComments/pdf/Clark County Comments.pdf","Clark County School District (28 pages)")</f>
        <v>Clark County School District (28 pages)</v>
      </c>
    </row>
    <row r="36" spans="1:8" ht="12.75">
      <c r="A36" t="s">
        <v>6</v>
      </c>
      <c r="B36" s="4" t="s">
        <v>215</v>
      </c>
      <c r="D36" t="s">
        <v>21</v>
      </c>
      <c r="E36" t="s">
        <v>9</v>
      </c>
      <c r="F36" t="s">
        <v>10</v>
      </c>
      <c r="G36" t="s">
        <v>11</v>
      </c>
      <c r="H36" s="1" t="str">
        <f>HYPERLINK("http://apps.fcc.gov/ecfs/document/view?id=7520944053","  (5 pages)")</f>
        <v>  (5 pages)</v>
      </c>
    </row>
    <row r="37" spans="1:8" ht="12.75">
      <c r="A37" t="s">
        <v>6</v>
      </c>
      <c r="B37" s="4" t="s">
        <v>213</v>
      </c>
      <c r="D37" t="s">
        <v>21</v>
      </c>
      <c r="E37" t="s">
        <v>9</v>
      </c>
      <c r="F37" t="s">
        <v>10</v>
      </c>
      <c r="G37" t="s">
        <v>11</v>
      </c>
      <c r="H37" s="1" t="str">
        <f>HYPERLINK("http://apps.fcc.gov/ecfs/document/view?id=7520943923","  (3 pages)")</f>
        <v>  (3 pages)</v>
      </c>
    </row>
    <row r="38" spans="1:8" ht="12.75">
      <c r="A38" t="s">
        <v>6</v>
      </c>
      <c r="B38" s="4" t="s">
        <v>945</v>
      </c>
      <c r="C38" t="s">
        <v>663</v>
      </c>
      <c r="D38" t="s">
        <v>553</v>
      </c>
      <c r="E38" t="s">
        <v>652</v>
      </c>
      <c r="F38" t="s">
        <v>10</v>
      </c>
      <c r="G38" t="s">
        <v>11</v>
      </c>
      <c r="H38" s="1" t="str">
        <f>HYPERLINK("http://apps.fcc.gov/ecfs/document/view?id=7520942751","  (3 pages)")</f>
        <v>  (3 pages)</v>
      </c>
    </row>
    <row r="39" spans="1:12" ht="12.75">
      <c r="A39" t="s">
        <v>6</v>
      </c>
      <c r="B39" s="4" t="s">
        <v>212</v>
      </c>
      <c r="D39" t="s">
        <v>21</v>
      </c>
      <c r="E39" t="s">
        <v>9</v>
      </c>
      <c r="F39" t="s">
        <v>10</v>
      </c>
      <c r="G39" t="s">
        <v>11</v>
      </c>
      <c r="H39" s="1" t="str">
        <f>HYPERLINK("http://apps.fcc.gov/ecfs/document/view?id=7520944020","  (51 pages)")</f>
        <v>  (51 pages)</v>
      </c>
      <c r="L39" s="12" t="str">
        <f>HYPERLINK("http://www.e-ratecentral.com/FCC/ERate20NPRMComments/pdf/Comcast_NPRM_Comments_9-16-2013.pdf","Comcast Corporation (51 pages)")</f>
        <v>Comcast Corporation (51 pages)</v>
      </c>
    </row>
    <row r="40" spans="1:12" ht="12.75">
      <c r="A40" t="s">
        <v>6</v>
      </c>
      <c r="B40" s="4" t="s">
        <v>211</v>
      </c>
      <c r="D40" t="s">
        <v>21</v>
      </c>
      <c r="E40" t="s">
        <v>9</v>
      </c>
      <c r="F40" t="s">
        <v>10</v>
      </c>
      <c r="G40" t="s">
        <v>11</v>
      </c>
      <c r="H40" s="1" t="str">
        <f>HYPERLINK("http://apps.fcc.gov/ecfs/document/view?id=7520944007","  (7 pages)")</f>
        <v>  (7 pages)</v>
      </c>
      <c r="L40" s="12" t="str">
        <f>HYPERLINK("http://www.e-ratecentral.com/FCC/ERate20NPRMComments/pdf/CWA E-Rate Comments.pdf","Communications Workers of America (7 pages)")</f>
        <v>Communications Workers of America (7 pages)</v>
      </c>
    </row>
    <row r="41" spans="1:12" ht="12.75">
      <c r="A41" t="s">
        <v>6</v>
      </c>
      <c r="B41" s="4" t="s">
        <v>210</v>
      </c>
      <c r="D41" t="s">
        <v>21</v>
      </c>
      <c r="E41" t="s">
        <v>9</v>
      </c>
      <c r="F41" t="s">
        <v>10</v>
      </c>
      <c r="G41" t="s">
        <v>11</v>
      </c>
      <c r="H41" s="1" t="str">
        <f>HYPERLINK("http://apps.fcc.gov/ecfs/document/view?id=7520944093","  (14 pages)")</f>
        <v>  (14 pages)</v>
      </c>
      <c r="L41" s="12" t="str">
        <f>HYPERLINK("http://www.e-ratecentral.com/FCC/ERate20NPRMComments/pdf/Commpetitive Carriers Assoc.pdf","Competitive Carriers Association (14 pages)")</f>
        <v>Competitive Carriers Association (14 pages)</v>
      </c>
    </row>
    <row r="42" spans="1:12" ht="12.75">
      <c r="A42" t="s">
        <v>6</v>
      </c>
      <c r="B42" s="4" t="s">
        <v>209</v>
      </c>
      <c r="D42" t="s">
        <v>21</v>
      </c>
      <c r="E42" t="s">
        <v>9</v>
      </c>
      <c r="F42" t="s">
        <v>10</v>
      </c>
      <c r="G42" t="s">
        <v>11</v>
      </c>
      <c r="H42" s="1" t="str">
        <f>HYPERLINK("http://apps.fcc.gov/ecfs/document/view?id=7520944011","  (37 pages)")</f>
        <v>  (37 pages)</v>
      </c>
      <c r="L42" s="12" t="str">
        <f>HYPERLINK("http://www.e-ratecentral.com/FCC/ERate20NPRMComments/pdf/ConnectedNation_NPRM_Comments_9-16-2013.pdf","Connected Nation (37 pages)")</f>
        <v>Connected Nation (37 pages)</v>
      </c>
    </row>
    <row r="43" spans="1:12" ht="12.75">
      <c r="A43" t="s">
        <v>6</v>
      </c>
      <c r="B43" s="4" t="s">
        <v>288</v>
      </c>
      <c r="D43" t="s">
        <v>21</v>
      </c>
      <c r="E43" t="s">
        <v>21</v>
      </c>
      <c r="F43" t="s">
        <v>10</v>
      </c>
      <c r="G43" t="s">
        <v>11</v>
      </c>
      <c r="H43" s="3" t="str">
        <f>HYPERLINK("http://apps.fcc.gov/ecfs/document/view?id=7520943836","  (16 pages)")</f>
        <v>  (16 pages)</v>
      </c>
      <c r="L43" s="12" t="str">
        <f>HYPERLINK("http://www.e-ratecentral.com/FCC/ERate20NPRMComments/pdf/CouncilofGreatCities_NPRM_Comments_9-16-2013.pdf","Council of the Great City Schools (16 pages)")</f>
        <v>Council of the Great City Schools (16 pages)</v>
      </c>
    </row>
    <row r="44" spans="1:12" ht="12" customHeight="1">
      <c r="A44" t="s">
        <v>6</v>
      </c>
      <c r="B44" s="4" t="s">
        <v>208</v>
      </c>
      <c r="D44" t="s">
        <v>21</v>
      </c>
      <c r="E44" t="s">
        <v>9</v>
      </c>
      <c r="F44" t="s">
        <v>10</v>
      </c>
      <c r="G44" t="s">
        <v>11</v>
      </c>
      <c r="H44" s="1" t="str">
        <f>HYPERLINK("http://apps.fcc.gov/ecfs/document/view?id=7520944014","  (17 pages)")</f>
        <v>  (17 pages)</v>
      </c>
      <c r="L44" s="12" t="str">
        <f>HYPERLINK("http://www.e-ratecentral.com/FCC/ERate20NPRMComments/pdf/CoxCommunications_NPRM_Comments_9-16-2013.pdf","Cox Communications, Inc. (17 pages)")</f>
        <v>Cox Communications, Inc. (17 pages)</v>
      </c>
    </row>
    <row r="45" spans="1:8" ht="12.75">
      <c r="A45" t="s">
        <v>6</v>
      </c>
      <c r="B45" s="4" t="s">
        <v>207</v>
      </c>
      <c r="D45" t="s">
        <v>21</v>
      </c>
      <c r="E45" t="s">
        <v>9</v>
      </c>
      <c r="F45" t="s">
        <v>10</v>
      </c>
      <c r="G45" t="s">
        <v>11</v>
      </c>
      <c r="H45" s="1" t="str">
        <f>HYPERLINK("http://apps.fcc.gov/ecfs/document/view?id=7520943937","Comments from Crispus Attucks YouthBuild Charter School (3 pages)")</f>
        <v>Comments from Crispus Attucks YouthBuild Charter School (3 pages)</v>
      </c>
    </row>
    <row r="46" spans="1:12" ht="12.75">
      <c r="A46" t="s">
        <v>6</v>
      </c>
      <c r="B46" s="4" t="s">
        <v>233</v>
      </c>
      <c r="D46" t="s">
        <v>21</v>
      </c>
      <c r="E46" t="s">
        <v>9</v>
      </c>
      <c r="F46" t="s">
        <v>10</v>
      </c>
      <c r="G46" t="s">
        <v>11</v>
      </c>
      <c r="H46" s="1" t="str">
        <f>HYPERLINK("http://apps.fcc.gov/ecfs/document/view?id=7520943936","  (7 pages)")</f>
        <v>  (7 pages)</v>
      </c>
      <c r="L46" s="12" t="str">
        <f>HYPERLINK("http://www.e-ratecentral.com/FCC/ERate20NPRMComments/pdf/CRW_NPRM_Comments_9-16-2013.pdf","CRW Consulting (7 pages)")</f>
        <v>CRW Consulting (7 pages)</v>
      </c>
    </row>
    <row r="47" spans="1:13" ht="12.75">
      <c r="A47" t="s">
        <v>6</v>
      </c>
      <c r="B47" s="4" t="s">
        <v>232</v>
      </c>
      <c r="D47" t="s">
        <v>21</v>
      </c>
      <c r="E47" t="s">
        <v>9</v>
      </c>
      <c r="F47" t="s">
        <v>10</v>
      </c>
      <c r="G47" t="s">
        <v>11</v>
      </c>
      <c r="H47" s="1" t="str">
        <f>HYPERLINK("http://apps.fcc.gov/ecfs/document/view?id=7520944085","CSM Inc Initial NPRM Comments (35 pages)")</f>
        <v>CSM Inc Initial NPRM Comments (35 pages)</v>
      </c>
      <c r="I47" s="1" t="str">
        <f>HYPERLINK("http://apps.fcc.gov/ecfs/document/view?id=7520944086","Appendix A (14 pages)")</f>
        <v>Appendix A (14 pages)</v>
      </c>
      <c r="L47" s="12" t="str">
        <f>HYPERLINK("http://www.e-ratecentral.com/FCC/ERate20NPRMComments/pdf/CSM_NPRM_Comments_9-16-2013.pdf","CSM, Inc. (35 pages)")</f>
        <v>CSM, Inc. (35 pages)</v>
      </c>
      <c r="M47" s="3" t="str">
        <f>HYPERLINK("http://www.e-ratecentral.com/FCC/ERate20NPRMComments/pdf/Appendix A - Initial Comments of CSM Inc 9-16-13.pdf","Appendix A (14 pages)")</f>
        <v>Appendix A (14 pages)</v>
      </c>
    </row>
    <row r="48" spans="1:12" ht="12.75">
      <c r="A48" t="s">
        <v>6</v>
      </c>
      <c r="B48" s="4" t="s">
        <v>231</v>
      </c>
      <c r="D48" t="s">
        <v>21</v>
      </c>
      <c r="E48" t="s">
        <v>9</v>
      </c>
      <c r="F48" t="s">
        <v>10</v>
      </c>
      <c r="G48" t="s">
        <v>11</v>
      </c>
      <c r="H48" s="1" t="str">
        <f>HYPERLINK("http://apps.fcc.gov/ecfs/document/view?id=7520943955","  (15 pages)")</f>
        <v>  (15 pages)</v>
      </c>
      <c r="L48" s="12" t="str">
        <f>HYPERLINK("http://www.e-ratecentral.com/FCC/ERate20NPRMComments/pdf/CTIA Comments.pdf","CTIA-The Wireless Association (15 pages)")</f>
        <v>CTIA-The Wireless Association (15 pages)</v>
      </c>
    </row>
    <row r="49" spans="1:8" ht="12.75">
      <c r="A49" t="s">
        <v>6</v>
      </c>
      <c r="B49" s="4" t="s">
        <v>204</v>
      </c>
      <c r="D49" t="s">
        <v>21</v>
      </c>
      <c r="E49" t="s">
        <v>9</v>
      </c>
      <c r="F49" t="s">
        <v>10</v>
      </c>
      <c r="G49" t="s">
        <v>11</v>
      </c>
      <c r="H49" s="1" t="str">
        <f>HYPERLINK("http://apps.fcc.gov/ecfs/document/view?id=7520943976","SafeLibraries Comment (69 pages)")</f>
        <v>SafeLibraries Comment (69 pages)</v>
      </c>
    </row>
    <row r="50" spans="1:12" ht="12.75">
      <c r="A50" t="s">
        <v>6</v>
      </c>
      <c r="B50" s="4" t="s">
        <v>882</v>
      </c>
      <c r="C50" s="4" t="s">
        <v>1160</v>
      </c>
      <c r="D50" t="s">
        <v>21</v>
      </c>
      <c r="E50" t="s">
        <v>1070</v>
      </c>
      <c r="F50" t="s">
        <v>10</v>
      </c>
      <c r="G50" t="s">
        <v>11</v>
      </c>
      <c r="H50" s="1" t="str">
        <f>HYPERLINK("http://apps.fcc.gov/ecfs/document/view?id=7520944390","  (7 pages)")</f>
        <v>  (7 pages)</v>
      </c>
      <c r="I50" s="7" t="str">
        <f>HYPERLINK("http://apps.fcc.gov/ecfs/document/view?id=7520944035","  (7 pages)")</f>
        <v>  (7 pages)</v>
      </c>
      <c r="L50" s="12" t="str">
        <f>HYPERLINK("http://www.e-ratecentral.com/FCC/ERate20NPRMComments/pdf/Digital Learning Institute.pdf","Digital Learning Institute (7 pages)")</f>
        <v>Digital Learning Institute (7 pages)</v>
      </c>
    </row>
    <row r="51" spans="1:8" ht="12.75">
      <c r="A51" t="s">
        <v>6</v>
      </c>
      <c r="B51" s="4" t="s">
        <v>1075</v>
      </c>
      <c r="D51" t="s">
        <v>21</v>
      </c>
      <c r="E51" t="s">
        <v>1070</v>
      </c>
      <c r="F51" t="s">
        <v>10</v>
      </c>
      <c r="G51" t="s">
        <v>11</v>
      </c>
      <c r="H51" s="1" t="str">
        <f>HYPERLINK("http://apps.fcc.gov/ecfs/document/view?id=7520944417","  (3 pages)")</f>
        <v>  (3 pages)</v>
      </c>
    </row>
    <row r="52" spans="1:12" ht="12.75">
      <c r="A52" t="s">
        <v>6</v>
      </c>
      <c r="B52" s="4" t="s">
        <v>375</v>
      </c>
      <c r="D52" t="s">
        <v>21</v>
      </c>
      <c r="E52" t="s">
        <v>21</v>
      </c>
      <c r="F52" t="s">
        <v>10</v>
      </c>
      <c r="G52" t="s">
        <v>11</v>
      </c>
      <c r="H52" s="1" t="str">
        <f>HYPERLINK("http://apps.fcc.gov/ecfs/document/view?id=7520943677","  (4 pages)")</f>
        <v>  (4 pages)</v>
      </c>
      <c r="L52" s="12" t="str">
        <f>HYPERLINK("http://www.e-ratecentral.com/FCC/ERate20NPRMComments/pdf/DigitalPublicLibraryAmerica91613.pdf","Digital Public Library of America (4 pages)")</f>
        <v>Digital Public Library of America (4 pages)</v>
      </c>
    </row>
    <row r="53" spans="1:8" ht="12.75">
      <c r="A53" t="s">
        <v>6</v>
      </c>
      <c r="B53" s="4" t="s">
        <v>374</v>
      </c>
      <c r="D53" t="s">
        <v>21</v>
      </c>
      <c r="E53" t="s">
        <v>21</v>
      </c>
      <c r="F53" t="s">
        <v>10</v>
      </c>
      <c r="G53" t="s">
        <v>11</v>
      </c>
      <c r="H53" s="1" t="str">
        <f>HYPERLINK("http://apps.fcc.gov/ecfs/document/view?id=7520943700","  (3 pages)")</f>
        <v>  (3 pages)</v>
      </c>
    </row>
    <row r="54" spans="1:8" ht="12.75">
      <c r="A54" t="s">
        <v>6</v>
      </c>
      <c r="B54" s="4" t="s">
        <v>286</v>
      </c>
      <c r="D54" t="s">
        <v>21</v>
      </c>
      <c r="E54" t="s">
        <v>21</v>
      </c>
      <c r="F54" t="s">
        <v>10</v>
      </c>
      <c r="G54" t="s">
        <v>11</v>
      </c>
      <c r="H54" s="1" t="str">
        <f>HYPERLINK("http://apps.fcc.gov/ecfs/document/view?id=7520943838","  (10 pages)")</f>
        <v>  (10 pages)</v>
      </c>
    </row>
    <row r="55" spans="1:8" ht="12.75">
      <c r="A55" t="s">
        <v>6</v>
      </c>
      <c r="B55" s="4" t="s">
        <v>22</v>
      </c>
      <c r="D55" t="s">
        <v>21</v>
      </c>
      <c r="E55" t="s">
        <v>9</v>
      </c>
      <c r="F55" t="s">
        <v>10</v>
      </c>
      <c r="G55" t="s">
        <v>11</v>
      </c>
      <c r="H55" s="1" t="str">
        <f>HYPERLINK("http://apps.fcc.gov/ecfs/document/view?id=7520944034","  (4 pages)")</f>
        <v>  (4 pages)</v>
      </c>
    </row>
    <row r="56" spans="1:12" ht="12.75">
      <c r="A56" t="s">
        <v>6</v>
      </c>
      <c r="B56" s="4" t="s">
        <v>523</v>
      </c>
      <c r="D56" t="s">
        <v>524</v>
      </c>
      <c r="E56" t="s">
        <v>333</v>
      </c>
      <c r="F56" t="s">
        <v>10</v>
      </c>
      <c r="G56" t="s">
        <v>11</v>
      </c>
      <c r="H56" s="1" t="str">
        <f>HYPERLINK("http://apps.fcc.gov/ecfs/document/view?id=7520943178","13 184 NPRM eDimension (5 pages)")</f>
        <v>13 184 NPRM eDimension (5 pages)</v>
      </c>
      <c r="L56" s="12" t="str">
        <f>HYPERLINK("http://www.e-ratecentral.com/FCC/ERate20NPRMComments/pdf/eDimensionLLC_7520943178.pdf","eDimension LLC (5 pages)")</f>
        <v>eDimension LLC (5 pages)</v>
      </c>
    </row>
    <row r="57" spans="1:12" ht="12.75">
      <c r="A57" t="s">
        <v>6</v>
      </c>
      <c r="B57" s="4" t="s">
        <v>191</v>
      </c>
      <c r="C57" t="s">
        <v>121</v>
      </c>
      <c r="D57" t="s">
        <v>21</v>
      </c>
      <c r="E57" t="s">
        <v>9</v>
      </c>
      <c r="F57" t="s">
        <v>10</v>
      </c>
      <c r="G57" t="s">
        <v>11</v>
      </c>
      <c r="H57" s="1" t="str">
        <f>HYPERLINK("http://apps.fcc.gov/ecfs/document/view?id=7520944016","  (44 pages)")</f>
        <v>  (44 pages)</v>
      </c>
      <c r="L57" s="12" t="str">
        <f>HYPERLINK("http://www.e-ratecentral.com/FCC/ERate20NPRMComments/pdf/Edline_NPRM_Comments_9-16-2013.pdf","Edline, LLC d/b/a Blackboard Engage (44 pages)")</f>
        <v>Edline, LLC d/b/a Blackboard Engage (44 pages)</v>
      </c>
    </row>
    <row r="58" spans="1:12" ht="12.75">
      <c r="A58" t="s">
        <v>6</v>
      </c>
      <c r="B58" s="4" t="s">
        <v>190</v>
      </c>
      <c r="D58" t="s">
        <v>21</v>
      </c>
      <c r="E58" t="s">
        <v>9</v>
      </c>
      <c r="F58" t="s">
        <v>10</v>
      </c>
      <c r="G58" t="s">
        <v>11</v>
      </c>
      <c r="H58" s="1" t="str">
        <f>HYPERLINK("http://apps.fcc.gov/ecfs/document/view?id=7520943930","Education Libraries Networks Coalition EdLiNC Comments in E Rate Proceeding (36 pages)")</f>
        <v>Education Libraries Networks Coalition EdLiNC Comments in E Rate Proceeding (36 pages)</v>
      </c>
      <c r="L58" s="12" t="str">
        <f>HYPERLINK("http://www.e-ratecentral.com/FCC/ERate20NPRMComments/pdf/EdLinc.pdf","Education &amp; Libraries Networks Coalition (36 pages)")</f>
        <v>Education &amp; Libraries Networks Coalition (36 pages)</v>
      </c>
    </row>
    <row r="59" spans="1:12" ht="12.75">
      <c r="A59" t="s">
        <v>6</v>
      </c>
      <c r="B59" s="4" t="s">
        <v>189</v>
      </c>
      <c r="D59" t="s">
        <v>21</v>
      </c>
      <c r="E59" t="s">
        <v>9</v>
      </c>
      <c r="F59" t="s">
        <v>10</v>
      </c>
      <c r="G59" t="s">
        <v>11</v>
      </c>
      <c r="H59" s="1" t="str">
        <f>HYPERLINK("http://apps.fcc.gov/ecfs/document/view?id=7520943873","  (34 pages)")</f>
        <v>  (34 pages)</v>
      </c>
      <c r="L59" s="12" t="str">
        <f>HYPERLINK("http://www.e-ratecentral.com/FCC/ERate20NPRMComments/pdf/Education Coalition.pdf","Education Coalition (34 pages)")</f>
        <v>Education Coalition (34 pages)</v>
      </c>
    </row>
    <row r="60" spans="1:12" ht="12.75">
      <c r="A60" t="s">
        <v>6</v>
      </c>
      <c r="B60" s="4" t="s">
        <v>188</v>
      </c>
      <c r="D60" t="s">
        <v>21</v>
      </c>
      <c r="E60" t="s">
        <v>9</v>
      </c>
      <c r="F60" t="s">
        <v>10</v>
      </c>
      <c r="G60" t="s">
        <v>11</v>
      </c>
      <c r="H60" s="1" t="str">
        <f>HYPERLINK("http://apps.fcc.gov/ecfs/document/view?id=7520943900","  (95 pages)")</f>
        <v>  (95 pages)</v>
      </c>
      <c r="L60" s="12" t="str">
        <f>HYPERLINK("http://www.e-ratecentral.com/FCC/ERate20NPRMComments/pdf/ENA_NPRM_Comments_9-16-2013.pdf","Education Networks of America,Inc. (95 pages)")</f>
        <v>Education Networks of America,Inc. (95 pages)</v>
      </c>
    </row>
    <row r="61" spans="1:12" ht="12.75">
      <c r="A61" t="s">
        <v>6</v>
      </c>
      <c r="B61" s="4" t="s">
        <v>187</v>
      </c>
      <c r="D61" t="s">
        <v>21</v>
      </c>
      <c r="E61" t="s">
        <v>9</v>
      </c>
      <c r="F61" t="s">
        <v>10</v>
      </c>
      <c r="G61" t="s">
        <v>11</v>
      </c>
      <c r="H61" s="1" t="str">
        <f>HYPERLINK("http://apps.fcc.gov/ecfs/document/view?id=7520944087","  (37 pages)")</f>
        <v>  (37 pages)</v>
      </c>
      <c r="L61" s="12" t="str">
        <f>HYPERLINK("http://www.e-ratecentral.com/FCC/ERate20NPRMComments/pdf/EducationSuperHighwayNPRMComments_9-17-13.pdf","EducationSuperHighway (37 pages)")</f>
        <v>EducationSuperHighway (37 pages)</v>
      </c>
    </row>
    <row r="62" spans="1:12" ht="12.75">
      <c r="A62" t="s">
        <v>6</v>
      </c>
      <c r="B62" s="4" t="s">
        <v>197</v>
      </c>
      <c r="D62" t="s">
        <v>21</v>
      </c>
      <c r="E62" t="s">
        <v>9</v>
      </c>
      <c r="F62" t="s">
        <v>10</v>
      </c>
      <c r="G62" t="s">
        <v>11</v>
      </c>
      <c r="H62" s="1" t="str">
        <f>HYPERLINK("http://apps.fcc.gov/ecfs/document/view?id=7520944023","  (7 pages)")</f>
        <v>  (7 pages)</v>
      </c>
      <c r="L62" s="12" t="str">
        <f>HYPERLINK("http://www.e-ratecentral.com/FCC/ERate20NPRMComments/pdf/Shirley Bauer Comments.pdf","E-Rate &amp; Educational Services, LLC (7 pages)")</f>
        <v>E-Rate &amp; Educational Services, LLC (7 pages)</v>
      </c>
    </row>
    <row r="63" spans="1:12" ht="12.75">
      <c r="A63" t="s">
        <v>6</v>
      </c>
      <c r="B63" s="4" t="s">
        <v>196</v>
      </c>
      <c r="D63" t="s">
        <v>21</v>
      </c>
      <c r="E63" t="s">
        <v>9</v>
      </c>
      <c r="F63" t="s">
        <v>10</v>
      </c>
      <c r="G63" t="s">
        <v>11</v>
      </c>
      <c r="H63" s="1" t="str">
        <f>HYPERLINK("http://apps.fcc.gov/ecfs/document/view?id=7520944010","  (14 pages)")</f>
        <v>  (14 pages)</v>
      </c>
      <c r="L63" s="12" t="str">
        <f>HYPERLINK("http://www.e-ratecentral.com/FCC/ERate20NPRMComments/pdf/E-Rate Central Comments.pdf","E-Rate Central (14 pages)")</f>
        <v>E-Rate Central (14 pages)</v>
      </c>
    </row>
    <row r="64" spans="1:12" ht="12.75">
      <c r="A64" t="s">
        <v>6</v>
      </c>
      <c r="B64" s="4" t="s">
        <v>373</v>
      </c>
      <c r="D64" t="s">
        <v>21</v>
      </c>
      <c r="E64" t="s">
        <v>21</v>
      </c>
      <c r="F64" t="s">
        <v>10</v>
      </c>
      <c r="G64" t="s">
        <v>11</v>
      </c>
      <c r="H64" s="1" t="str">
        <f>HYPERLINK("http://apps.fcc.gov/ecfs/document/view?id=7520943650","E Rate Consultants LLC Comment on E Rate NPRM  (4 pages)")</f>
        <v>E Rate Consultants LLC Comment on E Rate NPRM  (4 pages)</v>
      </c>
      <c r="L64" s="12" t="str">
        <f>HYPERLINK("http://www.e-ratecentral.com/FCC/ERate20NPRMComments/pdf/DexterFredricks-consultant_NPRM_Comments_9-16-2013.pdf","E-Rate Consultants (4 pages)")</f>
        <v>E-Rate Consultants (4 pages)</v>
      </c>
    </row>
    <row r="65" spans="1:12" ht="12.75">
      <c r="A65" t="s">
        <v>6</v>
      </c>
      <c r="B65" s="4" t="s">
        <v>195</v>
      </c>
      <c r="D65" t="s">
        <v>21</v>
      </c>
      <c r="E65" t="s">
        <v>9</v>
      </c>
      <c r="F65" t="s">
        <v>10</v>
      </c>
      <c r="G65" t="s">
        <v>11</v>
      </c>
      <c r="H65" s="1" t="str">
        <f>HYPERLINK("http://apps.fcc.gov/ecfs/document/view?id=7520944026","  (33 pages)")</f>
        <v>  (33 pages)</v>
      </c>
      <c r="L65" s="12" t="str">
        <f>HYPERLINK("http://www.e-ratecentral.com/FCC/ERate20NPRMComments/pdf/EMPA_NPRM_Comments_9-16-2013.pdf","E-Rate Management Professionals Association (33 pages)")</f>
        <v>E-Rate Management Professionals Association (33 pages)</v>
      </c>
    </row>
    <row r="66" spans="1:12" ht="12.75">
      <c r="A66" t="s">
        <v>6</v>
      </c>
      <c r="B66" s="4" t="s">
        <v>372</v>
      </c>
      <c r="D66" t="s">
        <v>21</v>
      </c>
      <c r="E66" t="s">
        <v>21</v>
      </c>
      <c r="F66" t="s">
        <v>10</v>
      </c>
      <c r="G66" t="s">
        <v>11</v>
      </c>
      <c r="H66" s="1" t="str">
        <f>HYPERLINK("http://apps.fcc.gov/ecfs/document/view?id=7520943673","  (15 pages)")</f>
        <v>  (15 pages)</v>
      </c>
      <c r="L66" s="12" t="str">
        <f>HYPERLINK("http://www.e-ratecentral.com/FCC/ERate20NPRMComments/pdf/Bob Richter Comments.pdf","E-Rate Provider Services, LLC. (15 pages)")</f>
        <v>E-Rate Provider Services, LLC. (15 pages)</v>
      </c>
    </row>
    <row r="67" spans="1:12" ht="12.75">
      <c r="A67" t="s">
        <v>6</v>
      </c>
      <c r="B67" s="4" t="s">
        <v>193</v>
      </c>
      <c r="C67" t="s">
        <v>194</v>
      </c>
      <c r="D67" t="s">
        <v>21</v>
      </c>
      <c r="E67" t="s">
        <v>9</v>
      </c>
      <c r="F67" t="s">
        <v>10</v>
      </c>
      <c r="G67" t="s">
        <v>11</v>
      </c>
      <c r="H67" s="1" t="str">
        <f>HYPERLINK("http://apps.fcc.gov/ecfs/document/view?id=7520943975","  (39 pages)")</f>
        <v>  (39 pages)</v>
      </c>
      <c r="L67" s="12" t="str">
        <f>HYPERLINK("http://www.e-ratecentral.com/FCC/ERate20NPRMComments/pdf/E-Rate Reform Coalition - FFL Comments.pdf","E-rate Reform Coalition (39 pages)")</f>
        <v>E-rate Reform Coalition (39 pages)</v>
      </c>
    </row>
    <row r="68" spans="1:12" ht="12.75">
      <c r="A68" t="s">
        <v>6</v>
      </c>
      <c r="B68" s="4" t="s">
        <v>192</v>
      </c>
      <c r="D68" t="s">
        <v>21</v>
      </c>
      <c r="E68" t="s">
        <v>9</v>
      </c>
      <c r="F68" t="s">
        <v>10</v>
      </c>
      <c r="G68" t="s">
        <v>11</v>
      </c>
      <c r="H68" s="1" t="str">
        <f>HYPERLINK("http://apps.fcc.gov/ecfs/document/view?id=7520944077","  (3 pages)")</f>
        <v>  (3 pages)</v>
      </c>
      <c r="L68" s="12" t="str">
        <f>HYPERLINK("http://www.e-ratecentral.com/FCC/ERate20NPRMComments/pdf/ESPA Comments.pdf","E-rate Service Providers Association (ESPA) (3 pages)")</f>
        <v>E-rate Service Providers Association (ESPA) (3 pages)</v>
      </c>
    </row>
    <row r="69" spans="1:12" ht="12.75">
      <c r="A69" t="s">
        <v>6</v>
      </c>
      <c r="B69" s="4" t="s">
        <v>671</v>
      </c>
      <c r="D69" t="s">
        <v>553</v>
      </c>
      <c r="E69" t="s">
        <v>553</v>
      </c>
      <c r="F69" t="s">
        <v>10</v>
      </c>
      <c r="G69" t="s">
        <v>11</v>
      </c>
      <c r="H69" s="1" t="str">
        <f>HYPERLINK("http://apps.fcc.gov/ecfs/document/view?id=7520942710","Erate Reform (3 pages)")</f>
        <v>Erate Reform (3 pages)</v>
      </c>
      <c r="L69" s="12" t="str">
        <f>HYPERLINK("http://www.e-ratecentral.com/FCC/ERate20NPRMComments/pdf/FairfaxVA_NPRM_Comments_9162013.pdf","Fairfax County Public Schools (3 pages)")</f>
        <v>Fairfax County Public Schools (3 pages)</v>
      </c>
    </row>
    <row r="70" spans="1:12" ht="12.75">
      <c r="A70" t="s">
        <v>6</v>
      </c>
      <c r="B70" s="4" t="s">
        <v>185</v>
      </c>
      <c r="D70" t="s">
        <v>21</v>
      </c>
      <c r="E70" t="s">
        <v>9</v>
      </c>
      <c r="F70" t="s">
        <v>10</v>
      </c>
      <c r="G70" t="s">
        <v>11</v>
      </c>
      <c r="H70" s="1" t="str">
        <f>HYPERLINK("http://apps.fcc.gov/ecfs/document/view?id=7520944046","E rate 2 0 NPRM Initial Comments (115 pages)")</f>
        <v>E rate 2 0 NPRM Initial Comments (115 pages)</v>
      </c>
      <c r="L70" s="12" t="str">
        <f>HYPERLINK("http://www.e-ratecentral.com/FCC/ERate20NPRMComments/pdf/DMS_ERate 2 0 NPRM Comments_091613_Duff.pdf","Florida Department of Management Services Division of Telecommunications (115 pages)")</f>
        <v>Florida Department of Management Services Division of Telecommunications (115 pages)</v>
      </c>
    </row>
    <row r="71" spans="1:12" ht="12.75">
      <c r="A71" t="s">
        <v>6</v>
      </c>
      <c r="B71" s="4" t="s">
        <v>665</v>
      </c>
      <c r="D71" t="s">
        <v>553</v>
      </c>
      <c r="E71" t="s">
        <v>652</v>
      </c>
      <c r="F71" t="s">
        <v>10</v>
      </c>
      <c r="G71" t="s">
        <v>11</v>
      </c>
      <c r="H71" s="1" t="str">
        <f>HYPERLINK("http://apps.fcc.gov/ecfs/document/view?id=7520942771","Fresno USD Comments to FCC E Rate 2 0 NPRM (5 pages)")</f>
        <v>Fresno USD Comments to FCC E Rate 2 0 NPRM (5 pages)</v>
      </c>
      <c r="L71" s="12" t="str">
        <f>HYPERLINK("http://www.e-ratecentral.com/FCC/ERate20NPRMComments/pdf/Fresno Comments.pdf","Fresno Unified School District (5 pages)")</f>
        <v>Fresno Unified School District (5 pages)</v>
      </c>
    </row>
    <row r="72" spans="1:12" ht="12.75">
      <c r="A72" t="s">
        <v>6</v>
      </c>
      <c r="B72" s="4" t="s">
        <v>322</v>
      </c>
      <c r="D72" t="s">
        <v>21</v>
      </c>
      <c r="E72" t="s">
        <v>21</v>
      </c>
      <c r="F72" t="s">
        <v>10</v>
      </c>
      <c r="G72" t="s">
        <v>11</v>
      </c>
      <c r="H72" s="1" t="str">
        <f>HYPERLINK("http://apps.fcc.gov/ecfs/document/view?id=7520943778","Friday Institute Comments for WC 13 184 (8 pages)")</f>
        <v>Friday Institute Comments for WC 13 184 (8 pages)</v>
      </c>
      <c r="L72" s="12" t="str">
        <f>HYPERLINK("http://www.e-ratecentral.com/FCC/ERate20NPRMComments/pdf/FridayInstitute91614friday.pdf","Friday Institute, NC State University (8 pages)")</f>
        <v>Friday Institute, NC State University (8 pages)</v>
      </c>
    </row>
    <row r="73" spans="1:12" ht="12.75">
      <c r="A73" t="s">
        <v>6</v>
      </c>
      <c r="B73" s="4" t="s">
        <v>183</v>
      </c>
      <c r="D73" t="s">
        <v>21</v>
      </c>
      <c r="E73" t="s">
        <v>9</v>
      </c>
      <c r="F73" t="s">
        <v>10</v>
      </c>
      <c r="G73" t="s">
        <v>11</v>
      </c>
      <c r="H73" s="1" t="str">
        <f>HYPERLINK("http://apps.fcc.gov/ecfs/document/view?id=7520944155","  (70 pages)")</f>
        <v>  (70 pages)</v>
      </c>
      <c r="L73" s="12" t="str">
        <f>HYPERLINK("http://www.e-ratecentral.com/FCC/ERate20NPRMComments/pdf/FundsforLearning_NPRM_Comments-9-16-2013.pdf","Funds For Learning, LLC (70 pages)")</f>
        <v>Funds For Learning, LLC (70 pages)</v>
      </c>
    </row>
    <row r="74" spans="1:12" ht="12.75">
      <c r="A74" t="s">
        <v>6</v>
      </c>
      <c r="B74" s="4" t="s">
        <v>182</v>
      </c>
      <c r="D74" t="s">
        <v>21</v>
      </c>
      <c r="E74" t="s">
        <v>9</v>
      </c>
      <c r="F74" t="s">
        <v>10</v>
      </c>
      <c r="G74" t="s">
        <v>11</v>
      </c>
      <c r="H74" s="1" t="str">
        <f>HYPERLINK("http://apps.fcc.gov/ecfs/document/view?id=7520943979","Gaggle Comment on NPRM proposed changes to Email and Web Hosting (7 pages)")</f>
        <v>Gaggle Comment on NPRM proposed changes to Email and Web Hosting (7 pages)</v>
      </c>
      <c r="L74" s="12" t="str">
        <f>HYPERLINK("http://www.e-ratecentral.com/FCC/ERate20NPRMComments/pdf/GaggleNet_NPRM_Comments_9-16-2016.pdf","Gaggle.Net, Inc. (7 pages)")</f>
        <v>Gaggle.Net, Inc. (7 pages)</v>
      </c>
    </row>
    <row r="75" spans="1:8" ht="12.75">
      <c r="A75" t="s">
        <v>6</v>
      </c>
      <c r="B75" s="4" t="s">
        <v>868</v>
      </c>
      <c r="C75" t="s">
        <v>674</v>
      </c>
      <c r="D75" t="s">
        <v>673</v>
      </c>
      <c r="E75" t="s">
        <v>673</v>
      </c>
      <c r="F75" t="s">
        <v>10</v>
      </c>
      <c r="G75" t="s">
        <v>11</v>
      </c>
      <c r="H75" s="1" t="str">
        <f>HYPERLINK("http://apps.fcc.gov/ecfs/document/view?id=7520942595","  (3 pages)")</f>
        <v>  (3 pages)</v>
      </c>
    </row>
    <row r="76" spans="1:12" ht="12.75">
      <c r="A76" t="s">
        <v>6</v>
      </c>
      <c r="B76" s="4" t="s">
        <v>1066</v>
      </c>
      <c r="D76" t="s">
        <v>21</v>
      </c>
      <c r="E76" t="s">
        <v>9</v>
      </c>
      <c r="F76" t="s">
        <v>10</v>
      </c>
      <c r="G76" t="s">
        <v>11</v>
      </c>
      <c r="H76" s="1" t="str">
        <f>HYPERLINK("http://apps.fcc.gov/ecfs/document/view?id=7520944017","  (3 pages)")</f>
        <v>  (3 pages)</v>
      </c>
      <c r="L76" s="12" t="str">
        <f>HYPERLINK("http://www.e-ratecentral.com/FCC/ERate20NPRMComments/pdf/GE Foundation_NPRM_Comments_9-16-2013.pdf","GE Foundation, National Public Education Support Fund, Nellie Mae Education (3 pages)")</f>
        <v>GE Foundation, National Public Education Support Fund, Nellie Mae Education (3 pages)</v>
      </c>
    </row>
    <row r="77" spans="1:12" ht="12.75">
      <c r="A77" t="s">
        <v>6</v>
      </c>
      <c r="B77" s="4" t="s">
        <v>177</v>
      </c>
      <c r="C77" t="s">
        <v>178</v>
      </c>
      <c r="D77" t="s">
        <v>1070</v>
      </c>
      <c r="E77" t="s">
        <v>1070</v>
      </c>
      <c r="F77" t="s">
        <v>10</v>
      </c>
      <c r="G77" t="s">
        <v>11</v>
      </c>
      <c r="H77" s="1" t="str">
        <f>HYPERLINK("http://apps.fcc.gov/ecfs/document/view?id=7520944359","Comments Corrected (20 pages)")</f>
        <v>Comments Corrected (20 pages)</v>
      </c>
      <c r="L77" s="12" t="str">
        <f>HYPERLINK("http://www.e-ratecentral.com/FCC/ERate20NPRMComments/pdf/General Communications.pdf","General Communication, Inc. (20 pages)")</f>
        <v>General Communication, Inc. (20 pages)</v>
      </c>
    </row>
    <row r="78" spans="1:12" ht="12.75">
      <c r="A78" t="s">
        <v>6</v>
      </c>
      <c r="B78" s="4" t="s">
        <v>544</v>
      </c>
      <c r="D78" t="s">
        <v>524</v>
      </c>
      <c r="E78" t="s">
        <v>333</v>
      </c>
      <c r="F78" t="s">
        <v>10</v>
      </c>
      <c r="G78" t="s">
        <v>11</v>
      </c>
      <c r="H78" s="1" t="str">
        <f>HYPERLINK("http://apps.fcc.gov/ecfs/document/view?id=7520943184","NPRM Comments (3 pages)")</f>
        <v>NPRM Comments (3 pages)</v>
      </c>
      <c r="L78" s="12" t="str">
        <f>HYPERLINK("http://www.e-ratecentral.com/FCC/ERate20NPRMComments/pdf/GlennCountyOfficeofEducation_7520943184.pdf","Glenn County Office of Education (3 pages)")</f>
        <v>Glenn County Office of Education (3 pages)</v>
      </c>
    </row>
    <row r="79" spans="1:12" ht="12.75">
      <c r="A79" t="s">
        <v>6</v>
      </c>
      <c r="B79" s="4" t="s">
        <v>173</v>
      </c>
      <c r="C79" t="s">
        <v>174</v>
      </c>
      <c r="D79" t="s">
        <v>21</v>
      </c>
      <c r="E79" t="s">
        <v>9</v>
      </c>
      <c r="F79" t="s">
        <v>10</v>
      </c>
      <c r="G79" t="s">
        <v>11</v>
      </c>
      <c r="H79" s="1" t="str">
        <f>HYPERLINK("http://apps.fcc.gov/ecfs/document/view?id=7520944147","HIEM E rate Modernization Comments (10 pages)")</f>
        <v>HIEM E rate Modernization Comments (10 pages)</v>
      </c>
      <c r="L79" s="12" t="str">
        <f>HYPERLINK("http://www.e-ratecentral.com/FCC/ERate20NPRMComments/pdf/health exchange of montana.pdf","Health Information Exchange of Montana (10 pages)")</f>
        <v>Health Information Exchange of Montana (10 pages)</v>
      </c>
    </row>
    <row r="80" spans="1:12" ht="12.75">
      <c r="A80" t="s">
        <v>6</v>
      </c>
      <c r="B80" s="4" t="s">
        <v>169</v>
      </c>
      <c r="C80" t="s">
        <v>170</v>
      </c>
      <c r="D80" t="s">
        <v>21</v>
      </c>
      <c r="E80" t="s">
        <v>9</v>
      </c>
      <c r="F80" t="s">
        <v>10</v>
      </c>
      <c r="G80" t="s">
        <v>11</v>
      </c>
      <c r="H80" s="1" t="str">
        <f>HYPERLINK("http://apps.fcc.gov/ecfs/document/view?id=7520943921","  (30 pages)")</f>
        <v>  (30 pages)</v>
      </c>
      <c r="L80" s="12" t="str">
        <f>HYPERLINK("http://www.e-ratecentral.com/FCC/ERate20NPRMComments/pdf/HP_NPRM_Comments_9-16-2013.pdf","Hewlett-Packard Company (30 pages)")</f>
        <v>Hewlett-Packard Company (30 pages)</v>
      </c>
    </row>
    <row r="81" spans="1:8" ht="12.75">
      <c r="A81" t="s">
        <v>6</v>
      </c>
      <c r="B81" s="4" t="s">
        <v>167</v>
      </c>
      <c r="C81" t="s">
        <v>168</v>
      </c>
      <c r="D81" t="s">
        <v>21</v>
      </c>
      <c r="E81" t="s">
        <v>9</v>
      </c>
      <c r="F81" t="s">
        <v>10</v>
      </c>
      <c r="G81" t="s">
        <v>11</v>
      </c>
      <c r="H81" s="1" t="str">
        <f>HYPERLINK("http://apps.fcc.gov/ecfs/document/view?id=7520944136","  (7 pages)")</f>
        <v>  (7 pages)</v>
      </c>
    </row>
    <row r="82" spans="1:12" ht="12.75">
      <c r="A82" t="s">
        <v>6</v>
      </c>
      <c r="B82" s="4" t="s">
        <v>461</v>
      </c>
      <c r="D82" t="s">
        <v>333</v>
      </c>
      <c r="E82" t="s">
        <v>333</v>
      </c>
      <c r="F82" t="s">
        <v>10</v>
      </c>
      <c r="G82" t="s">
        <v>11</v>
      </c>
      <c r="H82" s="1" t="str">
        <f>HYPERLINK("http://apps.fcc.gov/ecfs/document/view?id=7520943434","HISD NPRM 13 184 Comments (6 pages)")</f>
        <v>HISD NPRM 13 184 Comments (6 pages)</v>
      </c>
      <c r="L82" s="12" t="str">
        <f>HYPERLINK("http://www.e-ratecentral.com/FCC/ERate20NPRMComments/pdf/HoustonISD_NPRM_Comments_9-16-2013.pdf","Houston Independent School District (6 pages)")</f>
        <v>Houston Independent School District (6 pages)</v>
      </c>
    </row>
    <row r="83" spans="1:12" ht="12.75">
      <c r="A83" t="s">
        <v>6</v>
      </c>
      <c r="B83" s="4" t="s">
        <v>367</v>
      </c>
      <c r="D83" t="s">
        <v>21</v>
      </c>
      <c r="E83" t="s">
        <v>21</v>
      </c>
      <c r="F83" t="s">
        <v>10</v>
      </c>
      <c r="G83" t="s">
        <v>11</v>
      </c>
      <c r="H83" s="1" t="str">
        <f>HYPERLINK("http://apps.fcc.gov/ecfs/document/view?id=7520943619","  (14 pages)")</f>
        <v>  (14 pages)</v>
      </c>
      <c r="L83" s="12" t="str">
        <f>HYPERLINK("http://www.e-ratecentral.com/FCC/ERate20NPRMComments/pdf/Illinois Comments.pdf","Illinois Department of Central Management Services (14 pages)")</f>
        <v>Illinois Department of Central Management Services (14 pages)</v>
      </c>
    </row>
    <row r="84" spans="1:12" ht="12.75">
      <c r="A84" t="s">
        <v>6</v>
      </c>
      <c r="B84" s="4" t="s">
        <v>542</v>
      </c>
      <c r="D84" t="s">
        <v>333</v>
      </c>
      <c r="E84" t="s">
        <v>333</v>
      </c>
      <c r="F84" t="s">
        <v>10</v>
      </c>
      <c r="G84" t="s">
        <v>11</v>
      </c>
      <c r="H84" s="1" t="str">
        <f>HYPERLINK("http://apps.fcc.gov/ecfs/document/view?id=7520943225","  (10 pages)")</f>
        <v>  (10 pages)</v>
      </c>
      <c r="L84" s="12" t="str">
        <f>HYPERLINK("http://www.e-ratecentral.com/FCC/ERate20NPRMComments/pdf/IllinoisFiberResources91313.pdf","Illinois Fiber Resources Group (10 pages)")</f>
        <v>Illinois Fiber Resources Group (10 pages)</v>
      </c>
    </row>
    <row r="85" spans="1:12" ht="12.75">
      <c r="A85" t="s">
        <v>6</v>
      </c>
      <c r="B85" s="4" t="s">
        <v>964</v>
      </c>
      <c r="D85" t="s">
        <v>21</v>
      </c>
      <c r="E85" t="s">
        <v>9</v>
      </c>
      <c r="F85" t="s">
        <v>10</v>
      </c>
      <c r="G85" t="s">
        <v>11</v>
      </c>
      <c r="H85" s="1" t="str">
        <f>HYPERLINK("http://apps.fcc.gov/ecfs/document/view?id=7520944039","  (23 pages)")</f>
        <v>  (23 pages)</v>
      </c>
      <c r="L85" s="12" t="str">
        <f>HYPERLINK("http://www.e-ratecentral.com/FCC/ERate20NPRMComments/pdf/ICOE Comments.pdf","Imperial County Board of Education (23 pages)")</f>
        <v>Imperial County Board of Education (23 pages)</v>
      </c>
    </row>
    <row r="86" spans="1:12" ht="12.75">
      <c r="A86" t="s">
        <v>6</v>
      </c>
      <c r="B86" s="4" t="s">
        <v>1081</v>
      </c>
      <c r="D86" t="s">
        <v>21</v>
      </c>
      <c r="E86" t="s">
        <v>1070</v>
      </c>
      <c r="F86" t="s">
        <v>10</v>
      </c>
      <c r="G86" t="s">
        <v>11</v>
      </c>
      <c r="H86" s="3" t="str">
        <f>HYPERLINK("http://apps.fcc.gov/ecfs/document/view?id=7520945056","(26 pages)")</f>
        <v>(26 pages)</v>
      </c>
      <c r="L86" s="12" t="str">
        <f>HYPERLINK("http://www.e-ratecentral.com/FCC/ERate20NPRMComments/pdf/iNACOL_7520945056.pdf","International Association For K-12 Online Learning (26 pages)")</f>
        <v>International Association For K-12 Online Learning (26 pages)</v>
      </c>
    </row>
    <row r="87" spans="1:12" ht="12.75">
      <c r="A87" t="s">
        <v>6</v>
      </c>
      <c r="B87" s="4" t="s">
        <v>966</v>
      </c>
      <c r="D87" t="s">
        <v>9</v>
      </c>
      <c r="E87" t="s">
        <v>9</v>
      </c>
      <c r="F87" t="s">
        <v>10</v>
      </c>
      <c r="G87" t="s">
        <v>11</v>
      </c>
      <c r="H87" s="1" t="str">
        <f>HYPERLINK("http://apps.fcc.gov/ecfs/document/view?id=7520944261","  (12 pages)")</f>
        <v>  (12 pages)</v>
      </c>
      <c r="L87" s="12" t="str">
        <f>HYPERLINK("http://www.e-ratecentral.com/FCC/ERate20NPRMComments/pdf/ICLE_NPRM_Comments_9162013.pdf","International Center for Law and Economics &amp; Tech Freedom (12 pages)")</f>
        <v>International Center for Law and Economics &amp; Tech Freedom (12 pages)</v>
      </c>
    </row>
    <row r="88" spans="1:12" ht="12.75">
      <c r="A88" t="s">
        <v>6</v>
      </c>
      <c r="B88" s="4" t="s">
        <v>986</v>
      </c>
      <c r="C88" t="s">
        <v>186</v>
      </c>
      <c r="D88" t="s">
        <v>21</v>
      </c>
      <c r="E88" t="s">
        <v>9</v>
      </c>
      <c r="F88" t="s">
        <v>10</v>
      </c>
      <c r="G88" t="s">
        <v>11</v>
      </c>
      <c r="H88" s="1" t="str">
        <f>HYPERLINK("http://apps.fcc.gov/ecfs/document/view?id=7520944149","  (5 pages)")</f>
        <v>  (5 pages)</v>
      </c>
      <c r="L88" s="12" t="str">
        <f>HYPERLINK("http://www.e-ratecentral.com/FCC/ERate20NPRMComments/pdf/Elliot Soloway.pdf","International Society for Technology in Education’s Special Interest Group in Mobile Learning (5 pages)")</f>
        <v>International Society for Technology in Education’s Special Interest Group in Mobile Learning (5 pages)</v>
      </c>
    </row>
    <row r="89" spans="1:12" ht="12.75">
      <c r="A89" t="s">
        <v>6</v>
      </c>
      <c r="B89" s="4" t="s">
        <v>304</v>
      </c>
      <c r="C89" t="s">
        <v>292</v>
      </c>
      <c r="D89" t="s">
        <v>21</v>
      </c>
      <c r="E89" t="s">
        <v>21</v>
      </c>
      <c r="F89" t="s">
        <v>10</v>
      </c>
      <c r="G89" t="s">
        <v>11</v>
      </c>
      <c r="H89" s="3" t="str">
        <f>HYPERLINK("http://apps.fcc.gov/ecfs/document/view?id=7520943814","Internet2 Initial E rate NPRM Comments (26 pages)")</f>
        <v>Internet2 Initial E rate NPRM Comments (26 pages)</v>
      </c>
      <c r="L89" s="12" t="str">
        <f>HYPERLINK("http://www.e-ratecentral.com/FCC/ERate20NPRMComments/pdf/Internet2_NPRM_Comments_9-16-2013.pdf","Internet2 (26 pages)")</f>
        <v>Internet2 (26 pages)</v>
      </c>
    </row>
    <row r="90" spans="1:12" ht="12.75">
      <c r="A90" t="s">
        <v>6</v>
      </c>
      <c r="B90" s="4" t="s">
        <v>284</v>
      </c>
      <c r="D90" t="s">
        <v>21</v>
      </c>
      <c r="E90" t="s">
        <v>21</v>
      </c>
      <c r="F90" t="s">
        <v>10</v>
      </c>
      <c r="G90" t="s">
        <v>11</v>
      </c>
      <c r="H90" s="1" t="str">
        <f>HYPERLINK("http://apps.fcc.gov/ecfs/document/view?id=7520943841","  (7 pages)")</f>
        <v>  (7 pages)</v>
      </c>
      <c r="L90" s="12" t="str">
        <f>HYPERLINK("http://www.e-ratecentral.com/FCC/ERate20NPRMComments/pdf/IntrafinitySharpSchool91613.pdf","Intrafinity Inc. (o/a SharpSchool) (7 pages)")</f>
        <v>Intrafinity Inc. (o/a SharpSchool) (7 pages)</v>
      </c>
    </row>
    <row r="91" spans="1:12" ht="12.75">
      <c r="A91" t="s">
        <v>6</v>
      </c>
      <c r="B91" s="4" t="s">
        <v>163</v>
      </c>
      <c r="D91" t="s">
        <v>21</v>
      </c>
      <c r="E91" t="s">
        <v>9</v>
      </c>
      <c r="F91" t="s">
        <v>10</v>
      </c>
      <c r="G91" t="s">
        <v>11</v>
      </c>
      <c r="H91" s="3" t="str">
        <f>HYPERLINK("http://apps.fcc.gov/ecfs/document/view?id=7520943991","  (18 pages)")</f>
        <v>  (18 pages)</v>
      </c>
      <c r="L91" s="12" t="str">
        <f>HYPERLINK("http://www.e-ratecentral.com/FCC/ERate20NPRMComments/pdf/Iowa.pdf","Iowa Department of Education (18 pages)")</f>
        <v>Iowa Department of Education (18 pages)</v>
      </c>
    </row>
    <row r="92" spans="1:12" ht="12.75">
      <c r="A92" t="s">
        <v>6</v>
      </c>
      <c r="B92" s="4" t="s">
        <v>20</v>
      </c>
      <c r="D92" t="s">
        <v>21</v>
      </c>
      <c r="E92" t="s">
        <v>9</v>
      </c>
      <c r="F92" t="s">
        <v>10</v>
      </c>
      <c r="G92" t="s">
        <v>11</v>
      </c>
      <c r="H92" s="1" t="str">
        <f>HYPERLINK("http://apps.fcc.gov/ecfs/document/view?id=7520943893","  (3 pages)")</f>
        <v>  (3 pages)</v>
      </c>
      <c r="L92" s="12" t="str">
        <f>HYPERLINK("http://www.e-ratecentral.com/FCC/ERate20NPRMComments/pdf/Fajerman_NPRM_9162013.pdf","isaac fajerman (3 pages)")</f>
        <v>isaac fajerman (3 pages)</v>
      </c>
    </row>
    <row r="93" spans="1:12" ht="12.75">
      <c r="A93" t="s">
        <v>6</v>
      </c>
      <c r="B93" s="4" t="s">
        <v>164</v>
      </c>
      <c r="D93" t="s">
        <v>21</v>
      </c>
      <c r="E93" t="s">
        <v>9</v>
      </c>
      <c r="F93" t="s">
        <v>10</v>
      </c>
      <c r="G93" t="s">
        <v>11</v>
      </c>
      <c r="H93" s="1" t="str">
        <f>HYPERLINK("http://apps.fcc.gov/ecfs/document/view?id=7520944071","  (27 pages)")</f>
        <v>  (27 pages)</v>
      </c>
      <c r="L93" s="12" t="str">
        <f>HYPERLINK("http://www.e-ratecentral.com/FCC/ERate20NPRMComments/pdf/ITTA_E-Rate_Reform_Comments_091613.pdf","ITTA - The Independent Telephone &amp; Telecommunications Alliance (27 pages)")</f>
        <v>ITTA - The Independent Telephone &amp; Telecommunications Alliance (27 pages)</v>
      </c>
    </row>
    <row r="94" spans="1:8" ht="12.75">
      <c r="A94" t="s">
        <v>6</v>
      </c>
      <c r="B94" s="4" t="s">
        <v>1051</v>
      </c>
      <c r="C94" t="s">
        <v>140</v>
      </c>
      <c r="D94" t="s">
        <v>21</v>
      </c>
      <c r="E94" t="s">
        <v>9</v>
      </c>
      <c r="F94" t="s">
        <v>10</v>
      </c>
      <c r="G94" t="s">
        <v>11</v>
      </c>
      <c r="H94" s="1" t="str">
        <f>HYPERLINK("http://apps.fcc.gov/ecfs/document/view?id=7520944054","ERate Letter for Jefferson County Schools Alabama (3 pages)")</f>
        <v>ERate Letter for Jefferson County Schools Alabama (3 pages)</v>
      </c>
    </row>
    <row r="95" spans="1:12" ht="12.75">
      <c r="A95" t="s">
        <v>6</v>
      </c>
      <c r="B95" s="4" t="s">
        <v>156</v>
      </c>
      <c r="D95" t="s">
        <v>21</v>
      </c>
      <c r="E95" t="s">
        <v>9</v>
      </c>
      <c r="F95" t="s">
        <v>10</v>
      </c>
      <c r="G95" t="s">
        <v>11</v>
      </c>
      <c r="H95" s="1" t="str">
        <f>HYPERLINK("http://apps.fcc.gov/ecfs/document/view?id=7520944151","  (8 pages)")</f>
        <v>  (8 pages)</v>
      </c>
      <c r="L95" s="12" t="str">
        <f>HYPERLINK("http://www.e-ratecentral.com/FCC/ERate20NPRMComments/pdf/Jive.pdf","Jive Communications, Inc. (8 pages)")</f>
        <v>Jive Communications, Inc. (8 pages)</v>
      </c>
    </row>
    <row r="96" spans="1:8" ht="12.75">
      <c r="A96" t="s">
        <v>6</v>
      </c>
      <c r="B96" s="4" t="s">
        <v>365</v>
      </c>
      <c r="D96" t="s">
        <v>21</v>
      </c>
      <c r="E96" t="s">
        <v>21</v>
      </c>
      <c r="F96" t="s">
        <v>10</v>
      </c>
      <c r="G96" t="s">
        <v>11</v>
      </c>
      <c r="H96" s="1" t="str">
        <f>HYPERLINK("http://apps.fcc.gov/ecfs/document/view?id=7520943642","  (3 pages)")</f>
        <v>  (3 pages)</v>
      </c>
    </row>
    <row r="97" spans="1:12" ht="12.75">
      <c r="A97" t="s">
        <v>6</v>
      </c>
      <c r="B97" s="4" t="s">
        <v>319</v>
      </c>
      <c r="D97" t="s">
        <v>21</v>
      </c>
      <c r="E97" t="s">
        <v>21</v>
      </c>
      <c r="F97" t="s">
        <v>10</v>
      </c>
      <c r="G97" t="s">
        <v>11</v>
      </c>
      <c r="H97" s="1" t="str">
        <f>HYPERLINK("http://apps.fcc.gov/ecfs/document/view?id=7520943791","  (4 pages)")</f>
        <v>  (4 pages)</v>
      </c>
      <c r="L97" s="12" t="str">
        <f>HYPERLINK("http://www.e-ratecentral.com/FCC/ERate20NPRMComments/pdf/91613kajeet.pdf","Kajeet, Inc. (4 pages)")</f>
        <v>Kajeet, Inc. (4 pages)</v>
      </c>
    </row>
    <row r="98" spans="1:12" ht="12.75">
      <c r="A98" t="s">
        <v>6</v>
      </c>
      <c r="B98" s="4" t="s">
        <v>281</v>
      </c>
      <c r="D98" t="s">
        <v>21</v>
      </c>
      <c r="E98" t="s">
        <v>21</v>
      </c>
      <c r="F98" t="s">
        <v>10</v>
      </c>
      <c r="G98" t="s">
        <v>11</v>
      </c>
      <c r="H98" s="1" t="str">
        <f>HYPERLINK("http://apps.fcc.gov/ecfs/document/view?id=7520943866","  (145 pages)")</f>
        <v>  (145 pages)</v>
      </c>
      <c r="L98" s="12" t="str">
        <f>HYPERLINK("http://www.e-ratecentral.com/FCC/ERate20NPRMComments/pdf/KS NPRM Response WC Docket 13-184 16Sept2013.pdf","Kansas State Department of Education (145 pages)")</f>
        <v>Kansas State Department of Education (145 pages)</v>
      </c>
    </row>
    <row r="99" spans="1:12" ht="12.75">
      <c r="A99" t="s">
        <v>6</v>
      </c>
      <c r="B99" s="4" t="s">
        <v>139</v>
      </c>
      <c r="D99" t="s">
        <v>9</v>
      </c>
      <c r="E99" t="s">
        <v>9</v>
      </c>
      <c r="F99" t="s">
        <v>10</v>
      </c>
      <c r="G99" t="s">
        <v>11</v>
      </c>
      <c r="H99" s="1" t="str">
        <f>HYPERLINK("http://apps.fcc.gov/ecfs/document/view?id=7520944159","  (15 pages)")</f>
        <v>  (15 pages)</v>
      </c>
      <c r="L99" s="12" t="str">
        <f>HYPERLINK("http://www.e-ratecentral.com/FCC/ERate20NPRMComments/pdf/KelloggSovereign_NPRM_Comment_9-16-2013.pdf","Kellogg &amp; Sovereign Consulting (15 pages)")</f>
        <v>Kellogg &amp; Sovereign Consulting (15 pages)</v>
      </c>
    </row>
    <row r="100" spans="1:12" ht="12.75">
      <c r="A100" t="s">
        <v>6</v>
      </c>
      <c r="B100" s="4" t="s">
        <v>279</v>
      </c>
      <c r="D100" t="s">
        <v>21</v>
      </c>
      <c r="E100" t="s">
        <v>21</v>
      </c>
      <c r="F100" t="s">
        <v>10</v>
      </c>
      <c r="G100" t="s">
        <v>11</v>
      </c>
      <c r="H100" s="1" t="str">
        <f>HYPERLINK("http://apps.fcc.gov/ecfs/document/view?id=7520943857","  (9 pages)")</f>
        <v>  (9 pages)</v>
      </c>
      <c r="L100" s="12" t="str">
        <f>HYPERLINK("http://www.e-ratecentral.com/FCC/ERate20NPRMComments/pdf/KentuckyLibraryandArchives91613.pdf","Kentucky Department for Libraries and Archives (9 pages)")</f>
        <v>Kentucky Department for Libraries and Archives (9 pages)</v>
      </c>
    </row>
    <row r="101" spans="1:12" ht="12.75">
      <c r="A101" t="s">
        <v>6</v>
      </c>
      <c r="B101" s="4" t="s">
        <v>138</v>
      </c>
      <c r="D101" t="s">
        <v>21</v>
      </c>
      <c r="E101" t="s">
        <v>9</v>
      </c>
      <c r="F101" t="s">
        <v>10</v>
      </c>
      <c r="G101" t="s">
        <v>11</v>
      </c>
      <c r="H101" s="1" t="str">
        <f>HYPERLINK("http://apps.fcc.gov/ecfs/document/view?id=7520944006","  (6 pages)")</f>
        <v>  (6 pages)</v>
      </c>
      <c r="L101" s="12" t="str">
        <f>HYPERLINK("http://www.e-ratecentral.com/FCC/ERate20NPRMComments/pdf/KentuckyDoE_NPRM_comments_9-16-2013.pdf","Kentucky Department of Education (6 pages)")</f>
        <v>Kentucky Department of Education (6 pages)</v>
      </c>
    </row>
    <row r="102" spans="1:12" ht="12.75">
      <c r="A102" t="s">
        <v>6</v>
      </c>
      <c r="B102" s="4" t="s">
        <v>913</v>
      </c>
      <c r="D102" t="s">
        <v>21</v>
      </c>
      <c r="E102" t="s">
        <v>9</v>
      </c>
      <c r="F102" t="s">
        <v>10</v>
      </c>
      <c r="G102" t="s">
        <v>11</v>
      </c>
      <c r="H102" s="1" t="str">
        <f>HYPERLINK("http://apps.fcc.gov/ecfs/document/view?id=7520944152","  (5 pages)")</f>
        <v>  (5 pages)</v>
      </c>
      <c r="L102" s="12" t="str">
        <f>HYPERLINK("http://www.e-ratecentral.com/FCC/ERate20NPRMComments/pdf/Tulare COE Comments.pdf","Kevin Matteson (previously with Tulare County Office of Education) (5 pages)")</f>
        <v>Kevin Matteson (previously with Tulare County Office of Education) (5 pages)</v>
      </c>
    </row>
    <row r="103" spans="1:12" ht="12.75">
      <c r="A103" t="s">
        <v>6</v>
      </c>
      <c r="B103" s="4" t="s">
        <v>135</v>
      </c>
      <c r="D103" t="s">
        <v>21</v>
      </c>
      <c r="E103" t="s">
        <v>9</v>
      </c>
      <c r="F103" t="s">
        <v>10</v>
      </c>
      <c r="G103" t="s">
        <v>11</v>
      </c>
      <c r="H103" s="1" t="str">
        <f>HYPERLINK("http://apps.fcc.gov/ecfs/document/view?id=7520943928","  (27 pages)")</f>
        <v>  (27 pages)</v>
      </c>
      <c r="L103" s="12" t="str">
        <f>HYPERLINK("http://www.e-ratecentral.com/FCC/ERate20NPRMComments/pdf/Knox County Comments.pdf","Knox County Schools (27 pages)")</f>
        <v>Knox County Schools (27 pages)</v>
      </c>
    </row>
    <row r="104" spans="1:8" ht="12.75">
      <c r="A104" t="s">
        <v>6</v>
      </c>
      <c r="B104" s="4" t="s">
        <v>130</v>
      </c>
      <c r="D104" t="s">
        <v>21</v>
      </c>
      <c r="E104" t="s">
        <v>9</v>
      </c>
      <c r="F104" t="s">
        <v>10</v>
      </c>
      <c r="G104" t="s">
        <v>11</v>
      </c>
      <c r="H104" s="1" t="str">
        <f>HYPERLINK("http://apps.fcc.gov/ecfs/document/view?id=7520943965","  (6 pages)")</f>
        <v>  (6 pages)</v>
      </c>
    </row>
    <row r="105" spans="1:14" ht="12.75">
      <c r="A105" t="s">
        <v>6</v>
      </c>
      <c r="B105" s="4" t="s">
        <v>133</v>
      </c>
      <c r="D105" t="s">
        <v>9</v>
      </c>
      <c r="E105" t="s">
        <v>9</v>
      </c>
      <c r="F105" t="s">
        <v>10</v>
      </c>
      <c r="G105" t="s">
        <v>11</v>
      </c>
      <c r="H105" s="1" t="str">
        <f>HYPERLINK("http://apps.fcc.gov/ecfs/document/view?id=7520944365","UPDATED LEAD Comment (10 pages)")</f>
        <v>UPDATED LEAD Comment (10 pages)</v>
      </c>
      <c r="I105" s="1" t="str">
        <f>HYPERLINK("http://apps.fcc.gov/ecfs/document/view?id=7520944355","UPDATED LEAD Report (16 pages)")</f>
        <v>UPDATED LEAD Report (16 pages)</v>
      </c>
      <c r="L105" s="12" t="str">
        <f>HYPERLINK("http://www.e-ratecentral.com/FCC/ERate20NPRMComments/pdf/LEAD Comments.pdf","LEAD Commission (10 pages)")</f>
        <v>LEAD Commission (10 pages)</v>
      </c>
      <c r="M105" s="3" t="str">
        <f>HYPERLINK("http://www.e-ratecentral.com/FCC/ERate20NPRMComments/pdf/LEAD Comments 2.pdf","LEAD Commission (16 pages)")</f>
        <v>LEAD Commission (16 pages)</v>
      </c>
      <c r="N105" s="3" t="str">
        <f>HYPERLINK("http://www.e-ratecentral.com/FCC/ERate20NPRMComments/pdf/LEAD Comments Blueprint.pdf","LEAD Commission ( pages)")</f>
        <v>LEAD Commission ( pages)</v>
      </c>
    </row>
    <row r="106" spans="1:12" ht="12.75">
      <c r="A106" t="s">
        <v>6</v>
      </c>
      <c r="B106" s="4" t="s">
        <v>789</v>
      </c>
      <c r="D106" t="s">
        <v>21</v>
      </c>
      <c r="E106" t="s">
        <v>9</v>
      </c>
      <c r="F106" t="s">
        <v>10</v>
      </c>
      <c r="G106" t="s">
        <v>11</v>
      </c>
      <c r="H106" s="1" t="str">
        <f>HYPERLINK("http://apps.fcc.gov/ecfs/document/view?id=7520943998","  (4 pages)")</f>
        <v>  (4 pages)</v>
      </c>
      <c r="L106" s="12" t="str">
        <f>HYPERLINK("http://www.e-ratecentral.com/FCC/ERate20NPRMComments/pdf/The Leadership Council_NPRM Response_9-16-2013.pdf","Leadership Conference on Civil and Human Rights (4 pages)")</f>
        <v>Leadership Conference on Civil and Human Rights (4 pages)</v>
      </c>
    </row>
    <row r="107" spans="1:8" ht="12.75">
      <c r="A107" t="s">
        <v>6</v>
      </c>
      <c r="B107" s="4" t="s">
        <v>873</v>
      </c>
      <c r="C107" t="s">
        <v>92</v>
      </c>
      <c r="D107" t="s">
        <v>21</v>
      </c>
      <c r="E107" t="s">
        <v>9</v>
      </c>
      <c r="F107" t="s">
        <v>10</v>
      </c>
      <c r="G107" t="s">
        <v>11</v>
      </c>
      <c r="H107" s="1" t="str">
        <f>HYPERLINK("http://apps.fcc.gov/ecfs/document/view?id=7520943984","  (4 pages)")</f>
        <v>  (4 pages)</v>
      </c>
    </row>
    <row r="108" spans="1:12" ht="12.75">
      <c r="A108" t="s">
        <v>6</v>
      </c>
      <c r="B108" s="4" t="s">
        <v>434</v>
      </c>
      <c r="D108" t="s">
        <v>333</v>
      </c>
      <c r="E108" t="s">
        <v>333</v>
      </c>
      <c r="F108" t="s">
        <v>10</v>
      </c>
      <c r="G108" t="s">
        <v>11</v>
      </c>
      <c r="H108" s="1" t="str">
        <f>HYPERLINK("http://apps.fcc.gov/ecfs/document/view?id=7520943375","LAUSD NPRM 13 184 Comments (15 pages)")</f>
        <v>LAUSD NPRM 13 184 Comments (15 pages)</v>
      </c>
      <c r="L108" s="12" t="str">
        <f>HYPERLINK("http://www.e-ratecentral.com/FCC/ERate20NPRMComments/pdf/LAUSD Comments.pdf","Los Angeles Unified School District (15 pages)")</f>
        <v>Los Angeles Unified School District (15 pages)</v>
      </c>
    </row>
    <row r="109" spans="1:12" ht="12.75">
      <c r="A109" t="s">
        <v>6</v>
      </c>
      <c r="B109" s="4" t="s">
        <v>779</v>
      </c>
      <c r="D109" t="s">
        <v>770</v>
      </c>
      <c r="E109" t="s">
        <v>768</v>
      </c>
      <c r="F109" t="s">
        <v>10</v>
      </c>
      <c r="G109" t="s">
        <v>11</v>
      </c>
      <c r="H109" s="1" t="str">
        <f>HYPERLINK("http://apps.fcc.gov/ecfs/document/view?id=7520938382","  (3 pages)")</f>
        <v>  (3 pages)</v>
      </c>
      <c r="L109" s="12" t="str">
        <f>HYPERLINK("http://www.e-ratecentral.com/FCC/ERate20NPRMComments/pdf/LouisvilleLibrary_NPRM_Comments_9162013.pdf","Louisville Free Public Library (3 pages)")</f>
        <v>Louisville Free Public Library (3 pages)</v>
      </c>
    </row>
    <row r="110" spans="1:12" ht="12.75">
      <c r="A110" t="s">
        <v>6</v>
      </c>
      <c r="B110" s="4" t="s">
        <v>131</v>
      </c>
      <c r="C110" t="s">
        <v>132</v>
      </c>
      <c r="D110" t="s">
        <v>21</v>
      </c>
      <c r="E110" t="s">
        <v>9</v>
      </c>
      <c r="F110" t="s">
        <v>10</v>
      </c>
      <c r="G110" t="s">
        <v>11</v>
      </c>
      <c r="H110" s="1" t="str">
        <f>HYPERLINK("http://apps.fcc.gov/ecfs/document/view?id=7520944015","Comments to Notice of Proposed Rulemaking (24 pages)")</f>
        <v>Comments to Notice of Proposed Rulemaking (24 pages)</v>
      </c>
      <c r="L110" s="12" t="str">
        <f>HYPERLINK("http://www.e-ratecentral.com/FCC/ERate20NPRMComments/pdf/LTSBuyer91713lts.pdf","LTS Buyer LLC, Unite Private Networks, LLC and Fibertech Networks, LLC (24 pages)")</f>
        <v>LTS Buyer LLC, Unite Private Networks, LLC and Fibertech Networks, LLC (24 pages)</v>
      </c>
    </row>
    <row r="111" spans="1:12" ht="12.75">
      <c r="A111" t="s">
        <v>6</v>
      </c>
      <c r="B111" s="4" t="s">
        <v>122</v>
      </c>
      <c r="D111" t="s">
        <v>21</v>
      </c>
      <c r="E111" t="s">
        <v>9</v>
      </c>
      <c r="F111" t="s">
        <v>10</v>
      </c>
      <c r="G111" t="s">
        <v>11</v>
      </c>
      <c r="H111" s="1" t="str">
        <f>HYPERLINK("http://apps.fcc.gov/ecfs/document/view?id=7520943970","Massachusetts Erate Comments (11 pages)")</f>
        <v>Massachusetts Erate Comments (11 pages)</v>
      </c>
      <c r="L111" s="12" t="str">
        <f>HYPERLINK("http://www.e-ratecentral.com/FCC/ERate20NPRMComments/pdf/MassDeptofTechCable.pdf","Massachusetts Department of Telecommunications and Cable (11 pages)")</f>
        <v>Massachusetts Department of Telecommunications and Cable (11 pages)</v>
      </c>
    </row>
    <row r="112" spans="1:12" ht="12.75">
      <c r="A112" t="s">
        <v>6</v>
      </c>
      <c r="B112" s="4" t="s">
        <v>120</v>
      </c>
      <c r="C112" t="s">
        <v>121</v>
      </c>
      <c r="D112" t="s">
        <v>21</v>
      </c>
      <c r="E112" t="s">
        <v>9</v>
      </c>
      <c r="F112" t="s">
        <v>10</v>
      </c>
      <c r="G112" t="s">
        <v>11</v>
      </c>
      <c r="H112" s="1" t="str">
        <f>HYPERLINK("http://apps.fcc.gov/ecfs/document/view?id=7520943874","  (21 pages)")</f>
        <v>  (21 pages)</v>
      </c>
      <c r="L112" s="12" t="str">
        <f>HYPERLINK("http://www.e-ratecentral.com/FCC/ERate20NPRMComments/pdf/McGrawHillEducation91713mcg.pdf","McGraw-Hill Education (21 pages)")</f>
        <v>McGraw-Hill Education (21 pages)</v>
      </c>
    </row>
    <row r="113" spans="1:12" ht="12.75">
      <c r="A113" t="s">
        <v>6</v>
      </c>
      <c r="B113" s="4" t="s">
        <v>356</v>
      </c>
      <c r="D113" t="s">
        <v>21</v>
      </c>
      <c r="E113" t="s">
        <v>21</v>
      </c>
      <c r="F113" t="s">
        <v>10</v>
      </c>
      <c r="G113" t="s">
        <v>11</v>
      </c>
      <c r="H113" s="1" t="str">
        <f>HYPERLINK("http://apps.fcc.gov/ecfs/document/view?id=7520943718","Merit s e rate NPRM Response (10 pages)")</f>
        <v>Merit s e rate NPRM Response (10 pages)</v>
      </c>
      <c r="L113" s="12" t="str">
        <f>HYPERLINK("http://www.e-ratecentral.com/FCC/ERate20NPRMComments/pdf/Merit Network 7520943718 (EMPTY).pdf","Merit Network (10 pages)")</f>
        <v>Merit Network (10 pages)</v>
      </c>
    </row>
    <row r="114" spans="1:12" ht="12.75">
      <c r="A114" t="s">
        <v>6</v>
      </c>
      <c r="B114" s="4" t="s">
        <v>886</v>
      </c>
      <c r="D114" t="s">
        <v>598</v>
      </c>
      <c r="E114" t="s">
        <v>524</v>
      </c>
      <c r="F114" t="s">
        <v>10</v>
      </c>
      <c r="G114" t="s">
        <v>11</v>
      </c>
      <c r="H114" s="1" t="str">
        <f>HYPERLINK("http://apps.fcc.gov/ecfs/document/view?id=7520942977","M DCPS NPRM 13 184 RESPONSE 9 11 13 (17 pages)")</f>
        <v>M DCPS NPRM 13 184 RESPONSE 9 11 13 (17 pages)</v>
      </c>
      <c r="L114" s="12" t="str">
        <f>HYPERLINK("http://www.e-ratecentral.com/FCC/ERate20NPRMComments/pdf/MiamiDadePublic_NPRM_Comments_9-16-2013.pdf","Miami-Dade County Public Schools (17 pages)")</f>
        <v>Miami-Dade County Public Schools (17 pages)</v>
      </c>
    </row>
    <row r="115" spans="1:8" ht="12.75">
      <c r="A115" t="s">
        <v>6</v>
      </c>
      <c r="B115" s="4" t="s">
        <v>1008</v>
      </c>
      <c r="C115" t="s">
        <v>126</v>
      </c>
      <c r="D115" t="s">
        <v>21</v>
      </c>
      <c r="E115" t="s">
        <v>9</v>
      </c>
      <c r="F115" t="s">
        <v>10</v>
      </c>
      <c r="G115" t="s">
        <v>11</v>
      </c>
      <c r="H115" s="1" t="str">
        <f>HYPERLINK("http://apps.fcc.gov/ecfs/document/view?id=7520944138","  (33 pages)")</f>
        <v>  (33 pages)</v>
      </c>
    </row>
    <row r="116" spans="1:12" ht="12.75">
      <c r="A116" t="s">
        <v>6</v>
      </c>
      <c r="B116" s="4" t="s">
        <v>353</v>
      </c>
      <c r="C116" t="s">
        <v>354</v>
      </c>
      <c r="D116" t="s">
        <v>21</v>
      </c>
      <c r="E116" t="s">
        <v>21</v>
      </c>
      <c r="F116" t="s">
        <v>10</v>
      </c>
      <c r="G116" t="s">
        <v>11</v>
      </c>
      <c r="H116" s="1" t="str">
        <f>HYPERLINK("http://apps.fcc.gov/ecfs/document/view?id=7520943623","  (42 pages)")</f>
        <v>  (42 pages)</v>
      </c>
      <c r="L116" s="12" t="str">
        <f>HYPERLINK("http://www.e-ratecentral.com/FCC/ERate20NPRMComments/pdf/MississippiEDTechLeaders_NPRM_Comments_9-16-12013.pdf","Mississippi Educational Technology Leaders Association (42 pages)")</f>
        <v>Mississippi Educational Technology Leaders Association (42 pages)</v>
      </c>
    </row>
    <row r="117" spans="1:12" ht="12.75">
      <c r="A117" t="s">
        <v>6</v>
      </c>
      <c r="B117" s="4" t="s">
        <v>300</v>
      </c>
      <c r="D117" t="s">
        <v>21</v>
      </c>
      <c r="E117" t="s">
        <v>21</v>
      </c>
      <c r="F117" t="s">
        <v>10</v>
      </c>
      <c r="G117" t="s">
        <v>11</v>
      </c>
      <c r="H117" s="1" t="str">
        <f>HYPERLINK("http://apps.fcc.gov/ecfs/document/view?id=7520943819","  (12 pages)")</f>
        <v>  (12 pages)</v>
      </c>
      <c r="L117" s="12" t="str">
        <f>HYPERLINK("http://www.e-ratecentral.com/FCC/ERate20NPRMComments/pdf/Missouri Comments.pdf","Missouri Research and Education Network (12 pages)")</f>
        <v>Missouri Research and Education Network (12 pages)</v>
      </c>
    </row>
    <row r="118" spans="1:8" ht="12.75">
      <c r="A118" t="s">
        <v>6</v>
      </c>
      <c r="B118" s="4" t="s">
        <v>125</v>
      </c>
      <c r="C118" t="s">
        <v>126</v>
      </c>
      <c r="D118" t="s">
        <v>9</v>
      </c>
      <c r="E118" t="s">
        <v>9</v>
      </c>
      <c r="F118" t="s">
        <v>10</v>
      </c>
      <c r="G118" t="s">
        <v>11</v>
      </c>
      <c r="H118" s="1" t="str">
        <f>HYPERLINK("http://apps.fcc.gov/ecfs/document/view?id=7520944253","Amended Comments (33 pages)")</f>
        <v>Amended Comments (33 pages)</v>
      </c>
    </row>
    <row r="119" spans="1:8" ht="12.75">
      <c r="A119" t="s">
        <v>6</v>
      </c>
      <c r="B119" s="4" t="s">
        <v>1097</v>
      </c>
      <c r="C119" t="s">
        <v>1069</v>
      </c>
      <c r="D119" t="s">
        <v>764</v>
      </c>
      <c r="E119" t="s">
        <v>1070</v>
      </c>
      <c r="F119" t="s">
        <v>10</v>
      </c>
      <c r="G119" t="s">
        <v>11</v>
      </c>
      <c r="H119" s="1" t="str">
        <f>HYPERLINK("http://apps.fcc.gov/ecfs/document/view?id=7520944428","  (3 pages)")</f>
        <v>  (3 pages)</v>
      </c>
    </row>
    <row r="120" spans="1:12" ht="12.75">
      <c r="A120" t="s">
        <v>6</v>
      </c>
      <c r="B120" s="4" t="s">
        <v>837</v>
      </c>
      <c r="C120" t="s">
        <v>48</v>
      </c>
      <c r="D120" t="s">
        <v>21</v>
      </c>
      <c r="E120" t="s">
        <v>9</v>
      </c>
      <c r="F120" t="s">
        <v>10</v>
      </c>
      <c r="G120" t="s">
        <v>11</v>
      </c>
      <c r="H120" s="1" t="str">
        <f>HYPERLINK("http://apps.fcc.gov/ecfs/document/view?id=7520943935","  (3 pages)")</f>
        <v>  (3 pages)</v>
      </c>
      <c r="L120" s="12" t="str">
        <f>HYPERLINK("http://www.e-ratecentral.com/FCC/ERate20NPRMComments/pdf/Montana StateLib_NPRM_Comments_9162013.pdf","Montana State Library (3 pages)")</f>
        <v>Montana State Library (3 pages)</v>
      </c>
    </row>
    <row r="121" spans="1:8" ht="12.75">
      <c r="A121" t="s">
        <v>6</v>
      </c>
      <c r="B121" s="4" t="s">
        <v>112</v>
      </c>
      <c r="C121" t="s">
        <v>113</v>
      </c>
      <c r="D121" t="s">
        <v>21</v>
      </c>
      <c r="E121" t="s">
        <v>9</v>
      </c>
      <c r="F121" t="s">
        <v>10</v>
      </c>
      <c r="G121" t="s">
        <v>11</v>
      </c>
      <c r="H121" s="1" t="str">
        <f>HYPERLINK("http://apps.fcc.gov/ecfs/document/view?id=7520944074","NACEPF Comments (15 pages)")</f>
        <v>NACEPF Comments (15 pages)</v>
      </c>
    </row>
    <row r="122" spans="1:12" ht="12.75">
      <c r="A122" t="s">
        <v>6</v>
      </c>
      <c r="B122" s="4" t="s">
        <v>352</v>
      </c>
      <c r="D122" t="s">
        <v>21</v>
      </c>
      <c r="E122" t="s">
        <v>21</v>
      </c>
      <c r="F122" t="s">
        <v>10</v>
      </c>
      <c r="G122" t="s">
        <v>11</v>
      </c>
      <c r="H122" s="1" t="str">
        <f>HYPERLINK("http://apps.fcc.gov/ecfs/document/view?id=7520943672","Initial Comments from NASUCA Re IMO Modernizing E rate Program WC Docket 13 184 (14 pages)")</f>
        <v>Initial Comments from NASUCA Re IMO Modernizing E rate Program WC Docket 13 184 (14 pages)</v>
      </c>
      <c r="L122" s="12" t="str">
        <f>HYPERLINK("http://www.e-ratecentral.com/FCC/ERate20NPRMComments/pdf/NASUCA 20Comment on e-Rate 09-16.pdf","NASUCA (14 pages)")</f>
        <v>NASUCA (14 pages)</v>
      </c>
    </row>
    <row r="123" spans="1:12" ht="12.75">
      <c r="A123" t="s">
        <v>6</v>
      </c>
      <c r="B123" s="4" t="s">
        <v>1072</v>
      </c>
      <c r="C123" t="s">
        <v>1071</v>
      </c>
      <c r="D123" t="s">
        <v>21</v>
      </c>
      <c r="E123" t="s">
        <v>1070</v>
      </c>
      <c r="F123" t="s">
        <v>10</v>
      </c>
      <c r="G123" t="s">
        <v>11</v>
      </c>
      <c r="H123" s="1" t="str">
        <f>HYPERLINK("http://apps.fcc.gov/ecfs/document/view?id=7520944423","  (4 pages)")</f>
        <v>  (4 pages)</v>
      </c>
      <c r="L123" s="12" t="str">
        <f>HYPERLINK("http://www.e-ratecentral.com/FCC/ERate20NPRMComments/pdf/NationalAllianceCharterschools_NPRM_Comments_9-16-2013.pdf","National Alliance for Public Charter School (4 pages)")</f>
        <v>National Alliance for Public Charter School (4 pages)</v>
      </c>
    </row>
    <row r="124" spans="1:8" ht="12.75">
      <c r="A124" t="s">
        <v>6</v>
      </c>
      <c r="B124" s="4" t="s">
        <v>108</v>
      </c>
      <c r="D124" t="s">
        <v>21</v>
      </c>
      <c r="E124" t="s">
        <v>9</v>
      </c>
      <c r="F124" t="s">
        <v>10</v>
      </c>
      <c r="G124" t="s">
        <v>11</v>
      </c>
      <c r="H124" s="1" t="str">
        <f>HYPERLINK("http://apps.fcc.gov/ecfs/document/view?id=7520944078","  (6 pages)")</f>
        <v>  (6 pages)</v>
      </c>
    </row>
    <row r="125" spans="1:8" ht="12.75">
      <c r="A125" t="s">
        <v>6</v>
      </c>
      <c r="B125" s="4" t="s">
        <v>424</v>
      </c>
      <c r="D125" t="s">
        <v>333</v>
      </c>
      <c r="E125" t="s">
        <v>333</v>
      </c>
      <c r="F125" t="s">
        <v>10</v>
      </c>
      <c r="G125" t="s">
        <v>11</v>
      </c>
      <c r="H125" s="1" t="str">
        <f>HYPERLINK("http://apps.fcc.gov/ecfs/document/view?id=7520943285","  (3 pages)")</f>
        <v>  (3 pages)</v>
      </c>
    </row>
    <row r="126" spans="1:12" ht="12.75">
      <c r="A126" t="s">
        <v>6</v>
      </c>
      <c r="B126" s="4" t="s">
        <v>315</v>
      </c>
      <c r="D126" t="s">
        <v>21</v>
      </c>
      <c r="E126" t="s">
        <v>21</v>
      </c>
      <c r="F126" t="s">
        <v>10</v>
      </c>
      <c r="G126" t="s">
        <v>11</v>
      </c>
      <c r="H126" s="1" t="str">
        <f>HYPERLINK("http://apps.fcc.gov/ecfs/document/view?id=7520943755","NASSP Comments on E Rate NPRM (10 pages)")</f>
        <v>NASSP Comments on E Rate NPRM (10 pages)</v>
      </c>
      <c r="L126" s="12" t="str">
        <f>HYPERLINK("http://www.e-ratecentral.com/FCC/ERate20NPRMComments/pdf/NationalAssociationofSecondarySchoolPrincipals_7520943755.pdf","National Association of Secondary School Principals (10 pages)")</f>
        <v>National Association of Secondary School Principals (10 pages)</v>
      </c>
    </row>
    <row r="127" spans="1:12" ht="12.75">
      <c r="A127" t="s">
        <v>6</v>
      </c>
      <c r="B127" s="4" t="s">
        <v>298</v>
      </c>
      <c r="C127" t="s">
        <v>299</v>
      </c>
      <c r="D127" t="s">
        <v>21</v>
      </c>
      <c r="E127" t="s">
        <v>21</v>
      </c>
      <c r="F127" t="s">
        <v>10</v>
      </c>
      <c r="G127" t="s">
        <v>11</v>
      </c>
      <c r="H127" s="1" t="str">
        <f>HYPERLINK("http://apps.fcc.gov/ecfs/document/view?id=7520943807","  (3 pages)")</f>
        <v>  (3 pages)</v>
      </c>
      <c r="L127" s="12" t="str">
        <f>HYPERLINK("http://www.e-ratecentral.com/FCC/ERate20NPRMComments/pdf/NASBE Comments.pdf","National Association of State Boards of Education (3 pages)")</f>
        <v>National Association of State Boards of Education (3 pages)</v>
      </c>
    </row>
    <row r="128" spans="1:12" ht="12.75">
      <c r="A128" t="s">
        <v>6</v>
      </c>
      <c r="B128" s="4" t="s">
        <v>423</v>
      </c>
      <c r="D128" t="s">
        <v>333</v>
      </c>
      <c r="E128" t="s">
        <v>333</v>
      </c>
      <c r="F128" t="s">
        <v>10</v>
      </c>
      <c r="G128" t="s">
        <v>11</v>
      </c>
      <c r="H128" s="1" t="str">
        <f>HYPERLINK("http://apps.fcc.gov/ecfs/document/view?id=7520943382","NASCIO Comments on Docket 13 184 (4 pages)")</f>
        <v>NASCIO Comments on Docket 13 184 (4 pages)</v>
      </c>
      <c r="L128" s="12" t="str">
        <f>HYPERLINK("http://www.e-ratecentral.com/FCC/ERate20NPRMComments/pdf/StateChiefIO_NPRM_Comments_9-16-2013.pdf","National Association of State Chief Information Officers (NASCIO) (4 pages)")</f>
        <v>National Association of State Chief Information Officers (NASCIO) (4 pages)</v>
      </c>
    </row>
    <row r="129" spans="1:12" ht="12.75">
      <c r="A129" t="s">
        <v>6</v>
      </c>
      <c r="B129" s="4" t="s">
        <v>107</v>
      </c>
      <c r="D129" t="s">
        <v>21</v>
      </c>
      <c r="E129" t="s">
        <v>9</v>
      </c>
      <c r="F129" t="s">
        <v>10</v>
      </c>
      <c r="G129" t="s">
        <v>11</v>
      </c>
      <c r="H129" s="1" t="str">
        <f>HYPERLINK("http://apps.fcc.gov/ecfs/document/view?id=7520943869","  (20 pages)")</f>
        <v>  (20 pages)</v>
      </c>
      <c r="L129" s="12" t="str">
        <f>HYPERLINK("http://www.e-ratecentral.com/FCC/ERate20NPRMComments/pdf/NationalCableTeleAssn_NPRM_9-16-2013.pdf","National Cable &amp; Telecommunications Association (20 pages)")</f>
        <v>National Cable &amp; Telecommunications Association (20 pages)</v>
      </c>
    </row>
    <row r="130" spans="1:8" ht="12.75">
      <c r="A130" t="s">
        <v>6</v>
      </c>
      <c r="B130" s="4" t="s">
        <v>696</v>
      </c>
      <c r="D130" t="s">
        <v>685</v>
      </c>
      <c r="E130" t="s">
        <v>685</v>
      </c>
      <c r="F130" t="s">
        <v>10</v>
      </c>
      <c r="G130" t="s">
        <v>11</v>
      </c>
      <c r="H130" s="1" t="str">
        <f>HYPERLINK("http://apps.fcc.gov/ecfs/document/view?id=7520942261","  (3 pages)")</f>
        <v>  (3 pages)</v>
      </c>
    </row>
    <row r="131" spans="1:12" ht="12.75">
      <c r="A131" t="s">
        <v>6</v>
      </c>
      <c r="B131" s="4" t="s">
        <v>106</v>
      </c>
      <c r="D131" t="s">
        <v>21</v>
      </c>
      <c r="E131" t="s">
        <v>9</v>
      </c>
      <c r="F131" t="s">
        <v>10</v>
      </c>
      <c r="G131" t="s">
        <v>11</v>
      </c>
      <c r="H131" s="1" t="str">
        <f>HYPERLINK("http://apps.fcc.gov/ecfs/document/view?id=7520943981","  (15 pages)")</f>
        <v>  (15 pages)</v>
      </c>
      <c r="L131" s="12" t="str">
        <f>HYPERLINK("http://www.e-ratecentral.com/FCC/ERate20NPRMComments/pdf/NEA_NPRM_Comments_9-16-2013.pdf","National Education Association (15 pages)")</f>
        <v>National Education Association (15 pages)</v>
      </c>
    </row>
    <row r="132" spans="1:12" ht="12.75">
      <c r="A132" t="s">
        <v>6</v>
      </c>
      <c r="B132" s="4" t="s">
        <v>105</v>
      </c>
      <c r="D132" t="s">
        <v>21</v>
      </c>
      <c r="E132" t="s">
        <v>9</v>
      </c>
      <c r="F132" t="s">
        <v>10</v>
      </c>
      <c r="G132" t="s">
        <v>11</v>
      </c>
      <c r="H132" s="1" t="str">
        <f>HYPERLINK("http://apps.fcc.gov/ecfs/document/view?id=7520944082","  (5 pages)")</f>
        <v>  (5 pages)</v>
      </c>
      <c r="L132" s="12" t="str">
        <f>HYPERLINK("http://www.e-ratecentral.com/FCC/ERate20NPRMComments/pdf/NatHispanicMediaCoal_NPRM_Comments_9-16-2013.pdf","National Hispanic Media Coalition (5 pages)")</f>
        <v>National Hispanic Media Coalition (5 pages)</v>
      </c>
    </row>
    <row r="133" spans="1:12" ht="12.75">
      <c r="A133" t="s">
        <v>6</v>
      </c>
      <c r="B133" s="4" t="s">
        <v>104</v>
      </c>
      <c r="D133" t="s">
        <v>21</v>
      </c>
      <c r="E133" t="s">
        <v>9</v>
      </c>
      <c r="F133" t="s">
        <v>10</v>
      </c>
      <c r="G133" t="s">
        <v>11</v>
      </c>
      <c r="H133" s="1" t="str">
        <f>HYPERLINK("http://apps.fcc.gov/ecfs/document/view?id=7520943952","NIEA Comments (4 pages)")</f>
        <v>NIEA Comments (4 pages)</v>
      </c>
      <c r="L133" s="12" t="str">
        <f>HYPERLINK("http://www.e-ratecentral.com/FCC/ERate20NPRMComments/pdf/National Indian Education Association.pdf","National Indian Education Association (4 pages)")</f>
        <v>National Indian Education Association (4 pages)</v>
      </c>
    </row>
    <row r="134" spans="1:12" ht="12.75">
      <c r="A134" t="s">
        <v>6</v>
      </c>
      <c r="B134" s="4" t="s">
        <v>1103</v>
      </c>
      <c r="C134" t="s">
        <v>117</v>
      </c>
      <c r="D134" t="s">
        <v>21</v>
      </c>
      <c r="E134" t="s">
        <v>9</v>
      </c>
      <c r="F134" t="s">
        <v>10</v>
      </c>
      <c r="G134" t="s">
        <v>11</v>
      </c>
      <c r="H134" s="1" t="str">
        <f>HYPERLINK("http://apps.fcc.gov/ecfs/document/view?id=7520943918","  (4 pages)")</f>
        <v>  (4 pages)</v>
      </c>
      <c r="L134" s="12" t="str">
        <f>HYPERLINK("http://www.e-ratecentral.com/FCC/ERate20NPRMComments/pdf/0916 national school boards association - 2013.pdf","National School Boards Association (NSBA) (4 pages)")</f>
        <v>National School Boards Association (NSBA) (4 pages)</v>
      </c>
    </row>
    <row r="135" spans="1:12" ht="12.75">
      <c r="A135" t="s">
        <v>6</v>
      </c>
      <c r="B135" s="4" t="s">
        <v>277</v>
      </c>
      <c r="D135" t="s">
        <v>21</v>
      </c>
      <c r="E135" t="s">
        <v>21</v>
      </c>
      <c r="F135" t="s">
        <v>10</v>
      </c>
      <c r="G135" t="s">
        <v>11</v>
      </c>
      <c r="H135" s="1" t="str">
        <f>HYPERLINK("http://apps.fcc.gov/ecfs/document/view?id=7520943850","  (6 pages)")</f>
        <v>  (6 pages)</v>
      </c>
      <c r="L135" s="12" t="str">
        <f>HYPERLINK("http://www.e-ratecentral.com/FCC/ERate20NPRMComments/pdf/NATOA.pdf","NATOA (6 pages)")</f>
        <v>NATOA (6 pages)</v>
      </c>
    </row>
    <row r="136" spans="1:12" ht="12.75">
      <c r="A136" t="s">
        <v>6</v>
      </c>
      <c r="B136" s="4" t="s">
        <v>102</v>
      </c>
      <c r="C136" t="s">
        <v>103</v>
      </c>
      <c r="D136" t="s">
        <v>21</v>
      </c>
      <c r="E136" t="s">
        <v>9</v>
      </c>
      <c r="F136" t="s">
        <v>10</v>
      </c>
      <c r="G136" t="s">
        <v>11</v>
      </c>
      <c r="H136" s="1" t="str">
        <f>HYPERLINK("http://apps.fcc.gov/ecfs/document/view?id=7520944056","Comments of NNTRC (29 pages)")</f>
        <v>Comments of NNTRC (29 pages)</v>
      </c>
      <c r="L136" s="12" t="str">
        <f>HYPERLINK("http://www.e-ratecentral.com/FCC/ERate20NPRMComments/pdf/navajo nation telecommunications regulatory commission.pdf","Navajo Nation Telecommunications Regulatory Commission (29 pages)")</f>
        <v>Navajo Nation Telecommunications Regulatory Commission (29 pages)</v>
      </c>
    </row>
    <row r="137" spans="1:12" ht="12.75">
      <c r="A137" t="s">
        <v>6</v>
      </c>
      <c r="B137" s="4" t="s">
        <v>101</v>
      </c>
      <c r="D137" t="s">
        <v>21</v>
      </c>
      <c r="E137" t="s">
        <v>9</v>
      </c>
      <c r="F137" t="s">
        <v>10</v>
      </c>
      <c r="G137" t="s">
        <v>11</v>
      </c>
      <c r="H137" s="1" t="str">
        <f>HYPERLINK("http://apps.fcc.gov/ecfs/document/view?id=7520943987","  (13 pages)")</f>
        <v>  (13 pages)</v>
      </c>
      <c r="L137" s="12" t="str">
        <f>HYPERLINK("http://www.e-ratecentral.com/FCC/ERate20NPRMComments/pdf/Nebraska.pdf","Nebraska Office of the CIO (13 pages)")</f>
        <v>Nebraska Office of the CIO (13 pages)</v>
      </c>
    </row>
    <row r="138" spans="1:12" ht="12.75">
      <c r="A138" t="s">
        <v>6</v>
      </c>
      <c r="B138" s="4" t="s">
        <v>100</v>
      </c>
      <c r="D138" t="s">
        <v>21</v>
      </c>
      <c r="E138" t="s">
        <v>9</v>
      </c>
      <c r="F138" t="s">
        <v>10</v>
      </c>
      <c r="G138" t="s">
        <v>11</v>
      </c>
      <c r="H138" s="1" t="str">
        <f>HYPERLINK("http://apps.fcc.gov/ecfs/document/view?id=7520944021","  (40 pages)")</f>
        <v>  (40 pages)</v>
      </c>
      <c r="L138" s="12" t="str">
        <f>HYPERLINK("http://www.e-ratecentral.com/FCC/ERate20NPRMComments/pdf/NewAmericaFoundation_7520944021.pdf","New America Foundation - Open Technology Institute and Education Policy Program (40 pages)")</f>
        <v>New America Foundation - Open Technology Institute and Education Policy Program (40 pages)</v>
      </c>
    </row>
    <row r="139" spans="1:12" ht="12.75">
      <c r="A139" t="s">
        <v>6</v>
      </c>
      <c r="B139" s="4" t="s">
        <v>99</v>
      </c>
      <c r="D139" t="s">
        <v>21</v>
      </c>
      <c r="E139" t="s">
        <v>9</v>
      </c>
      <c r="F139" t="s">
        <v>10</v>
      </c>
      <c r="G139" t="s">
        <v>11</v>
      </c>
      <c r="H139" s="1" t="str">
        <f>HYPERLINK("http://apps.fcc.gov/ecfs/document/view?id=7520943972","Reponse to NPRM (5 pages)")</f>
        <v>Reponse to NPRM (5 pages)</v>
      </c>
      <c r="L139" s="12" t="str">
        <f>HYPERLINK("http://www.e-ratecentral.com/FCC/ERate20NPRMComments/pdf/New Hope.pdf","New Hope Technology Foundation (5 pages)")</f>
        <v>New Hope Technology Foundation (5 pages)</v>
      </c>
    </row>
    <row r="140" spans="1:12" ht="12.75">
      <c r="A140" t="s">
        <v>6</v>
      </c>
      <c r="B140" s="4" t="s">
        <v>98</v>
      </c>
      <c r="D140" t="s">
        <v>21</v>
      </c>
      <c r="E140" t="s">
        <v>9</v>
      </c>
      <c r="F140" t="s">
        <v>10</v>
      </c>
      <c r="G140" t="s">
        <v>11</v>
      </c>
      <c r="H140" s="1" t="str">
        <f>HYPERLINK("http://apps.fcc.gov/ecfs/document/view?id=7520943878","  (9 pages)")</f>
        <v>  (9 pages)</v>
      </c>
      <c r="L140" s="12" t="str">
        <f>HYPERLINK("http://www.e-ratecentral.com/FCC/ERate20NPRMComments/pdf/NYC_NPRM_Comments_9-16-2013.pdf","New York City Department of Education (9 pages)")</f>
        <v>New York City Department of Education (9 pages)</v>
      </c>
    </row>
    <row r="141" spans="1:12" ht="12.75">
      <c r="A141" t="s">
        <v>6</v>
      </c>
      <c r="B141" s="4" t="s">
        <v>111</v>
      </c>
      <c r="D141" t="s">
        <v>21</v>
      </c>
      <c r="E141" t="s">
        <v>9</v>
      </c>
      <c r="F141" t="s">
        <v>10</v>
      </c>
      <c r="G141" t="s">
        <v>11</v>
      </c>
      <c r="H141" s="1" t="str">
        <f>HYPERLINK("http://apps.fcc.gov/ecfs/document/view?id=7520943876","  (29 pages)")</f>
        <v>  (29 pages)</v>
      </c>
      <c r="L141" s="12" t="str">
        <f>HYPERLINK("http://www.e-ratecentral.com/FCC/ERate20NPRMComments/pdf/NTCA and WTA.pdf","NTCA and WTA (29 pages)")</f>
        <v>NTCA and WTA (29 pages)</v>
      </c>
    </row>
    <row r="142" spans="1:8" ht="12.75">
      <c r="A142" t="s">
        <v>6</v>
      </c>
      <c r="B142" s="4" t="s">
        <v>96</v>
      </c>
      <c r="D142" t="s">
        <v>21</v>
      </c>
      <c r="E142" t="s">
        <v>9</v>
      </c>
      <c r="F142" t="s">
        <v>10</v>
      </c>
      <c r="G142" t="s">
        <v>11</v>
      </c>
      <c r="H142" s="1" t="str">
        <f>HYPERLINK("http://apps.fcc.gov/ecfs/document/view?id=7520943949","  (4 pages)")</f>
        <v>  (4 pages)</v>
      </c>
    </row>
    <row r="143" spans="1:12" ht="12.75">
      <c r="A143" t="s">
        <v>6</v>
      </c>
      <c r="B143" s="4" t="s">
        <v>1057</v>
      </c>
      <c r="C143" t="s">
        <v>129</v>
      </c>
      <c r="D143" t="s">
        <v>21</v>
      </c>
      <c r="E143" t="s">
        <v>9</v>
      </c>
      <c r="F143" t="s">
        <v>10</v>
      </c>
      <c r="G143" t="s">
        <v>11</v>
      </c>
      <c r="H143" s="1" t="str">
        <f>HYPERLINK("http://apps.fcc.gov/ecfs/document/view?id=7520943906","  (3 pages)")</f>
        <v>  (3 pages)</v>
      </c>
      <c r="L143" s="12" t="str">
        <f>HYPERLINK("http://www.e-ratecentral.com/FCC/ERate20NPRMComments/pdf/LisaConnelley-OCPS_NPRM_comments_9-16-2013.pdf","Orange County Public Schools (FL) (3 pages)")</f>
        <v>Orange County Public Schools (FL) (3 pages)</v>
      </c>
    </row>
    <row r="144" spans="1:12" ht="12.75">
      <c r="A144" t="s">
        <v>6</v>
      </c>
      <c r="B144" s="4" t="s">
        <v>297</v>
      </c>
      <c r="D144" t="s">
        <v>21</v>
      </c>
      <c r="E144" t="s">
        <v>21</v>
      </c>
      <c r="F144" t="s">
        <v>10</v>
      </c>
      <c r="G144" t="s">
        <v>11</v>
      </c>
      <c r="H144" s="1" t="str">
        <f>HYPERLINK("http://apps.fcc.gov/ecfs/document/view?id=7520943804","  (5 pages)")</f>
        <v>  (5 pages)</v>
      </c>
      <c r="L144" s="12" t="str">
        <f>HYPERLINK("http://www.e-ratecentral.com/FCC/ERate20NPRMComments/pdf/Partnership21stCenturySkills91613.pdf","Partnership for 21st Century Skills (5 pages)")</f>
        <v>Partnership for 21st Century Skills (5 pages)</v>
      </c>
    </row>
    <row r="145" spans="1:8" ht="12.75">
      <c r="A145" t="s">
        <v>6</v>
      </c>
      <c r="B145" s="4" t="s">
        <v>349</v>
      </c>
      <c r="D145" t="s">
        <v>21</v>
      </c>
      <c r="E145" t="s">
        <v>21</v>
      </c>
      <c r="F145" t="s">
        <v>10</v>
      </c>
      <c r="G145" t="s">
        <v>11</v>
      </c>
      <c r="H145" s="1" t="str">
        <f>HYPERLINK("http://apps.fcc.gov/ecfs/document/view?id=7520943624","Vermont EPSCoR WC 13 184 Comment (3 pages)")</f>
        <v>Vermont EPSCoR WC 13 184 Comment (3 pages)</v>
      </c>
    </row>
    <row r="146" spans="1:12" ht="12.75">
      <c r="A146" t="s">
        <v>6</v>
      </c>
      <c r="B146" s="4" t="s">
        <v>94</v>
      </c>
      <c r="D146" t="s">
        <v>21</v>
      </c>
      <c r="E146" t="s">
        <v>9</v>
      </c>
      <c r="F146" t="s">
        <v>10</v>
      </c>
      <c r="G146" t="s">
        <v>11</v>
      </c>
      <c r="H146" s="1" t="str">
        <f>HYPERLINK("http://apps.fcc.gov/ecfs/document/view?id=7520944133","  (10 pages)")</f>
        <v>  (10 pages)</v>
      </c>
      <c r="L146" s="12" t="str">
        <f>HYPERLINK("http://www.e-ratecentral.com/FCC/ERate20NPRMComments/pdf/91713pcia.pdf","PCIA - The Wireless Infrastructure Association &amp; the HetNet Forum (10 pages)")</f>
        <v>PCIA - The Wireless Infrastructure Association &amp; the HetNet Forum (10 pages)</v>
      </c>
    </row>
    <row r="147" spans="1:12" ht="12.75">
      <c r="A147" t="s">
        <v>6</v>
      </c>
      <c r="B147" s="4" t="s">
        <v>875</v>
      </c>
      <c r="D147" t="s">
        <v>21</v>
      </c>
      <c r="E147" t="s">
        <v>9</v>
      </c>
      <c r="F147" t="s">
        <v>10</v>
      </c>
      <c r="G147" t="s">
        <v>11</v>
      </c>
      <c r="H147" s="1" t="str">
        <f>HYPERLINK("http://apps.fcc.gov/ecfs/document/view?id=7520944048","  (14 pages)")</f>
        <v>  (14 pages)</v>
      </c>
      <c r="L147" s="12" t="str">
        <f>HYPERLINK("http://www.e-ratecentral.com/FCC/ERate20NPRMComments/pdf/Pennsylvania IU Comments.pdf","Pennsylvania Association of Intermediate Units (PAIU) (14 pages)")</f>
        <v>Pennsylvania Association of Intermediate Units (PAIU) (14 pages)</v>
      </c>
    </row>
    <row r="148" spans="1:12" ht="12.75">
      <c r="A148" t="s">
        <v>6</v>
      </c>
      <c r="B148" s="4" t="s">
        <v>91</v>
      </c>
      <c r="D148" t="s">
        <v>21</v>
      </c>
      <c r="E148" t="s">
        <v>9</v>
      </c>
      <c r="F148" t="s">
        <v>10</v>
      </c>
      <c r="G148" t="s">
        <v>11</v>
      </c>
      <c r="H148" s="1" t="str">
        <f>HYPERLINK("http://apps.fcc.gov/ecfs/document/view?id=7520944083","  (27 pages)")</f>
        <v>  (27 pages)</v>
      </c>
      <c r="L148" s="12" t="str">
        <f>HYPERLINK("http://www.e-ratecentral.com/FCC/ERate20NPRMComments/pdf/Giesler_NPRM_Comments_9-16-2013.pdf","Philip B. Gieseler (27 pages)")</f>
        <v>Philip B. Gieseler (27 pages)</v>
      </c>
    </row>
    <row r="149" spans="1:8" ht="12.75">
      <c r="A149" t="s">
        <v>6</v>
      </c>
      <c r="B149" s="4" t="s">
        <v>89</v>
      </c>
      <c r="D149" t="s">
        <v>21</v>
      </c>
      <c r="E149" t="s">
        <v>9</v>
      </c>
      <c r="F149" t="s">
        <v>10</v>
      </c>
      <c r="G149" t="s">
        <v>11</v>
      </c>
      <c r="H149" s="1" t="str">
        <f>HYPERLINK("http://apps.fcc.gov/ecfs/document/view?id=7520943916","Project Tomorrow Comments on E Rate Proceeding (7 pages)")</f>
        <v>Project Tomorrow Comments on E Rate Proceeding (7 pages)</v>
      </c>
    </row>
    <row r="150" spans="1:8" ht="12.75">
      <c r="A150" t="s">
        <v>6</v>
      </c>
      <c r="B150" s="4" t="s">
        <v>88</v>
      </c>
      <c r="D150" t="s">
        <v>21</v>
      </c>
      <c r="E150" t="s">
        <v>9</v>
      </c>
      <c r="F150" t="s">
        <v>10</v>
      </c>
      <c r="G150" t="s">
        <v>11</v>
      </c>
      <c r="H150" s="1" t="str">
        <f>HYPERLINK("http://apps.fcc.gov/ecfs/document/view?id=7520944099","  (3 pages)")</f>
        <v>  (3 pages)</v>
      </c>
    </row>
    <row r="151" spans="1:12" ht="12.75">
      <c r="A151" t="s">
        <v>6</v>
      </c>
      <c r="B151" s="4" t="s">
        <v>87</v>
      </c>
      <c r="D151" t="s">
        <v>21</v>
      </c>
      <c r="E151" t="s">
        <v>9</v>
      </c>
      <c r="F151" t="s">
        <v>10</v>
      </c>
      <c r="G151" t="s">
        <v>11</v>
      </c>
      <c r="H151" s="1" t="str">
        <f>HYPERLINK("http://apps.fcc.gov/ecfs/document/view?id=7520943983","  (20 pages)")</f>
        <v>  (20 pages)</v>
      </c>
      <c r="L151" s="12" t="str">
        <f>HYPERLINK("http://www.e-ratecentral.com/FCC/ERate20NPRMComments/pdf/Quaalcom_NPRM_Comments_9162013.pdf","QUALCOMM Incorporated (20 pages)")</f>
        <v>QUALCOMM Incorporated (20 pages)</v>
      </c>
    </row>
    <row r="152" spans="1:12" ht="12.75">
      <c r="A152" t="s">
        <v>6</v>
      </c>
      <c r="B152" s="4" t="s">
        <v>1067</v>
      </c>
      <c r="C152" t="s">
        <v>271</v>
      </c>
      <c r="D152" t="s">
        <v>21</v>
      </c>
      <c r="E152" t="s">
        <v>21</v>
      </c>
      <c r="F152" t="s">
        <v>10</v>
      </c>
      <c r="G152" t="s">
        <v>11</v>
      </c>
      <c r="H152" s="1" t="str">
        <f>HYPERLINK("http://apps.fcc.gov/ecfs/document/view?id=7520943839","  (16 pages)")</f>
        <v>  (16 pages)</v>
      </c>
      <c r="L152" s="12" t="str">
        <f>HYPERLINK("http://www.e-ratecentral.com/FCC/ERate20NPRMComments/pdf/The Quilt.pdf","Quilt, The (16 pages)")</f>
        <v>Quilt, The (16 pages)</v>
      </c>
    </row>
    <row r="153" spans="1:12" ht="12.75">
      <c r="A153" t="s">
        <v>6</v>
      </c>
      <c r="B153" s="4" t="s">
        <v>275</v>
      </c>
      <c r="D153" t="s">
        <v>21</v>
      </c>
      <c r="E153" t="s">
        <v>21</v>
      </c>
      <c r="F153" t="s">
        <v>10</v>
      </c>
      <c r="G153" t="s">
        <v>11</v>
      </c>
      <c r="H153" s="1" t="str">
        <f>HYPERLINK("http://apps.fcc.gov/ecfs/document/view?id=7520943852","NPRM Comments (5 pages)")</f>
        <v>NPRM Comments (5 pages)</v>
      </c>
      <c r="L153" s="12" t="str">
        <f>HYPERLINK("http://www.e-ratecentral.com/FCC/ERate20NPRMComments/pdf/91613richmond.pdf","Richmond County Schools GA (5 pages)")</f>
        <v>Richmond County Schools GA (5 pages)</v>
      </c>
    </row>
    <row r="154" spans="1:12" ht="12.75">
      <c r="A154" t="s">
        <v>6</v>
      </c>
      <c r="B154" s="4" t="s">
        <v>346</v>
      </c>
      <c r="D154" t="s">
        <v>21</v>
      </c>
      <c r="E154" t="s">
        <v>21</v>
      </c>
      <c r="F154" t="s">
        <v>10</v>
      </c>
      <c r="G154" t="s">
        <v>11</v>
      </c>
      <c r="H154" s="1" t="str">
        <f>HYPERLINK("http://apps.fcc.gov/ecfs/document/view?id=7520943634","  (6 pages)")</f>
        <v>  (6 pages)</v>
      </c>
      <c r="L154" s="12" t="str">
        <f>HYPERLINK("http://www.e-ratecentral.com/FCC/ERate20NPRMComments/pdf/RiversideCounty91613.pdf","Riverside County Office of Education (6 pages)")</f>
        <v>Riverside County Office of Education (6 pages)</v>
      </c>
    </row>
    <row r="155" spans="1:12" ht="12.75">
      <c r="A155" t="s">
        <v>6</v>
      </c>
      <c r="B155" s="4" t="s">
        <v>866</v>
      </c>
      <c r="C155" t="s">
        <v>86</v>
      </c>
      <c r="D155" t="s">
        <v>21</v>
      </c>
      <c r="E155" t="s">
        <v>9</v>
      </c>
      <c r="F155" t="s">
        <v>10</v>
      </c>
      <c r="G155" t="s">
        <v>11</v>
      </c>
      <c r="H155" s="1" t="str">
        <f>HYPERLINK("http://apps.fcc.gov/ecfs/document/view?id=7520944062","  (19 pages)")</f>
        <v>  (19 pages)</v>
      </c>
      <c r="L155" s="12" t="str">
        <f>HYPERLINK("http://www.e-ratecentral.com/FCC/ERate20NPRMComments/pdf/RiversideCA_NPRM_Comments_9162013.pdf","Riverside Unified School District (19 pages)")</f>
        <v>Riverside Unified School District (19 pages)</v>
      </c>
    </row>
    <row r="156" spans="1:9" ht="12.75">
      <c r="A156" t="s">
        <v>6</v>
      </c>
      <c r="B156" s="4" t="s">
        <v>857</v>
      </c>
      <c r="D156" t="s">
        <v>21</v>
      </c>
      <c r="E156" t="s">
        <v>21</v>
      </c>
      <c r="F156" t="s">
        <v>10</v>
      </c>
      <c r="G156" t="s">
        <v>11</v>
      </c>
      <c r="H156" s="1" t="str">
        <f>HYPERLINK("http://apps.fcc.gov/ecfs/document/view?id=7520943564","  (18 pages)")</f>
        <v>  (18 pages)</v>
      </c>
      <c r="I156" s="1" t="str">
        <f>HYPERLINK("http://apps.fcc.gov/ecfs/document/view?id=7520943885","  (13 pages)")</f>
        <v>  (13 pages)</v>
      </c>
    </row>
    <row r="157" spans="1:12" ht="12.75">
      <c r="A157" t="s">
        <v>6</v>
      </c>
      <c r="B157" s="4" t="s">
        <v>273</v>
      </c>
      <c r="D157" t="s">
        <v>21</v>
      </c>
      <c r="E157" t="s">
        <v>21</v>
      </c>
      <c r="F157" t="s">
        <v>10</v>
      </c>
      <c r="G157" t="s">
        <v>11</v>
      </c>
      <c r="H157" s="1" t="str">
        <f>HYPERLINK("http://apps.fcc.gov/ecfs/document/view?id=7520943846","  (5 pages)")</f>
        <v>  (5 pages)</v>
      </c>
      <c r="L157" s="12" t="str">
        <f>HYPERLINK("http://www.e-ratecentral.com/FCC/ERate20NPRMComments/pdf/RuralCommunityCollegeAlliance91613.pdf","Rural Community College Alliance (5 pages)")</f>
        <v>Rural Community College Alliance (5 pages)</v>
      </c>
    </row>
    <row r="158" spans="1:12" ht="12.75">
      <c r="A158" t="s">
        <v>6</v>
      </c>
      <c r="B158" s="4" t="s">
        <v>855</v>
      </c>
      <c r="C158" t="s">
        <v>74</v>
      </c>
      <c r="D158" t="s">
        <v>21</v>
      </c>
      <c r="E158" t="s">
        <v>9</v>
      </c>
      <c r="F158" t="s">
        <v>10</v>
      </c>
      <c r="G158" t="s">
        <v>11</v>
      </c>
      <c r="H158" s="1" t="str">
        <f>HYPERLINK("http://apps.fcc.gov/ecfs/document/view?id=7520943862","  (14 pages)")</f>
        <v>  (14 pages)</v>
      </c>
      <c r="L158" s="12" t="str">
        <f>HYPERLINK("http://www.e-ratecentral.com/FCC/ERate20NPRMComments/pdf/91713saf safari montage.pdf","SAFARI Montage (14 pages)")</f>
        <v>SAFARI Montage (14 pages)</v>
      </c>
    </row>
    <row r="159" spans="1:12" ht="12.75">
      <c r="A159" t="s">
        <v>6</v>
      </c>
      <c r="B159" s="4" t="s">
        <v>407</v>
      </c>
      <c r="D159" t="s">
        <v>333</v>
      </c>
      <c r="E159" t="s">
        <v>333</v>
      </c>
      <c r="F159" t="s">
        <v>10</v>
      </c>
      <c r="G159" t="s">
        <v>11</v>
      </c>
      <c r="H159" s="1" t="str">
        <f>HYPERLINK("http://apps.fcc.gov/ecfs/document/view?id=7520943399","  (8 pages)")</f>
        <v>  (8 pages)</v>
      </c>
      <c r="L159" s="12" t="str">
        <f>HYPERLINK("http://www.e-ratecentral.com/FCC/ERate20NPRMComments/pdf/SanDiegoCountyOfficeofEducation_7520943399.pdf","San Diego County Office of Education (8 pages)")</f>
        <v>San Diego County Office of Education (8 pages)</v>
      </c>
    </row>
    <row r="160" spans="1:8" ht="12.75">
      <c r="A160" t="s">
        <v>6</v>
      </c>
      <c r="B160" s="4" t="s">
        <v>72</v>
      </c>
      <c r="D160" t="s">
        <v>21</v>
      </c>
      <c r="E160" t="s">
        <v>9</v>
      </c>
      <c r="F160" t="s">
        <v>10</v>
      </c>
      <c r="G160" t="s">
        <v>11</v>
      </c>
      <c r="H160" s="1" t="str">
        <f>HYPERLINK("http://apps.fcc.gov/ecfs/document/view?id=7520944032","  (3 pages)")</f>
        <v>  (3 pages)</v>
      </c>
    </row>
    <row r="161" spans="1:8" ht="12.75">
      <c r="A161" t="s">
        <v>6</v>
      </c>
      <c r="B161" s="4" t="s">
        <v>70</v>
      </c>
      <c r="D161" t="s">
        <v>21</v>
      </c>
      <c r="E161" t="s">
        <v>9</v>
      </c>
      <c r="F161" t="s">
        <v>10</v>
      </c>
      <c r="G161" t="s">
        <v>11</v>
      </c>
      <c r="H161" s="1" t="str">
        <f>HYPERLINK("http://apps.fcc.gov/ecfs/document/view?id=7520944027","  (6 pages)")</f>
        <v>  (6 pages)</v>
      </c>
    </row>
    <row r="162" spans="1:8" ht="12.75">
      <c r="A162" t="s">
        <v>6</v>
      </c>
      <c r="B162" s="4" t="s">
        <v>69</v>
      </c>
      <c r="D162" t="s">
        <v>21</v>
      </c>
      <c r="E162" t="s">
        <v>9</v>
      </c>
      <c r="F162" t="s">
        <v>10</v>
      </c>
      <c r="G162" t="s">
        <v>11</v>
      </c>
      <c r="H162" s="1" t="str">
        <f>HYPERLINK("http://apps.fcc.gov/ecfs/document/view?id=7520944146","  (15 pages)")</f>
        <v>  (15 pages)</v>
      </c>
    </row>
    <row r="163" spans="1:12" ht="12.75">
      <c r="A163" t="s">
        <v>6</v>
      </c>
      <c r="B163" s="4" t="s">
        <v>67</v>
      </c>
      <c r="C163" t="s">
        <v>68</v>
      </c>
      <c r="D163" t="s">
        <v>21</v>
      </c>
      <c r="E163" t="s">
        <v>9</v>
      </c>
      <c r="F163" t="s">
        <v>10</v>
      </c>
      <c r="G163" t="s">
        <v>11</v>
      </c>
      <c r="H163" s="1" t="str">
        <f>HYPERLINK("http://apps.fcc.gov/ecfs/document/view?id=7520944148","  (30 pages)")</f>
        <v>  (30 pages)</v>
      </c>
      <c r="L163" s="12" t="str">
        <f>HYPERLINK("http://www.e-ratecentral.com/FCC/ERate20NPRMComments/pdf/SchoolWires_NRPM_Comments-9-16-2013.pdf","Schoolwires, Inc. (30 pages)")</f>
        <v>Schoolwires, Inc. (30 pages)</v>
      </c>
    </row>
    <row r="164" spans="1:12" ht="12.75">
      <c r="A164" t="s">
        <v>6</v>
      </c>
      <c r="B164" s="4" t="s">
        <v>590</v>
      </c>
      <c r="D164" t="s">
        <v>524</v>
      </c>
      <c r="E164" t="s">
        <v>524</v>
      </c>
      <c r="F164" t="s">
        <v>10</v>
      </c>
      <c r="G164" t="s">
        <v>11</v>
      </c>
      <c r="H164" s="1" t="str">
        <f>HYPERLINK("http://apps.fcc.gov/ecfs/document/view?id=7520943019","  (3 pages)")</f>
        <v>  (3 pages)</v>
      </c>
      <c r="L164" s="12" t="str">
        <f>HYPERLINK("http://www.e-ratecentral.com/FCC/ERate20NPRMComments/pdf/ScrantonPubLib_NPRM_Comments_9-16-2013.pdf","Scranton Public Library (3 pages)")</f>
        <v>Scranton Public Library (3 pages)</v>
      </c>
    </row>
    <row r="165" spans="1:12" ht="12.75">
      <c r="A165" t="s">
        <v>6</v>
      </c>
      <c r="B165" s="4" t="s">
        <v>344</v>
      </c>
      <c r="D165" t="s">
        <v>21</v>
      </c>
      <c r="E165" t="s">
        <v>21</v>
      </c>
      <c r="F165" t="s">
        <v>10</v>
      </c>
      <c r="G165" t="s">
        <v>11</v>
      </c>
      <c r="H165" s="1" t="str">
        <f>HYPERLINK("http://apps.fcc.gov/ecfs/document/view?id=7520943640","  (4 pages)")</f>
        <v>  (4 pages)</v>
      </c>
      <c r="L165" s="12" t="str">
        <f>HYPERLINK("http://www.e-ratecentral.com/FCC/ERate20NPRMComments/pdf/SeattleSchools_NPRM_Comments_9-16-2013.pdf","Seattle Schools District 1 (4 pages)")</f>
        <v>Seattle Schools District 1 (4 pages)</v>
      </c>
    </row>
    <row r="166" spans="1:12" ht="12.75">
      <c r="A166" t="s">
        <v>6</v>
      </c>
      <c r="B166" s="4" t="s">
        <v>75</v>
      </c>
      <c r="D166" t="s">
        <v>21</v>
      </c>
      <c r="E166" t="s">
        <v>9</v>
      </c>
      <c r="F166" t="s">
        <v>10</v>
      </c>
      <c r="G166" t="s">
        <v>11</v>
      </c>
      <c r="H166" s="1" t="str">
        <f>HYPERLINK("http://apps.fcc.gov/ecfs/document/view?id=7520944111","  (14 pages)")</f>
        <v>  (14 pages)</v>
      </c>
      <c r="L166" s="12" t="str">
        <f>HYPERLINK("http://www.e-ratecentral.com/FCC/ERate20NPRMComments/pdf/SHLB_NPRM_Comments_9-16-2013.pdf","SHLB Coalition (14 pages)")</f>
        <v>SHLB Coalition (14 pages)</v>
      </c>
    </row>
    <row r="167" spans="1:12" ht="12.75">
      <c r="A167" t="s">
        <v>6</v>
      </c>
      <c r="B167" s="4" t="s">
        <v>842</v>
      </c>
      <c r="C167" t="s">
        <v>272</v>
      </c>
      <c r="D167" t="s">
        <v>21</v>
      </c>
      <c r="E167" t="s">
        <v>21</v>
      </c>
      <c r="F167" t="s">
        <v>10</v>
      </c>
      <c r="G167" t="s">
        <v>11</v>
      </c>
      <c r="H167" s="1" t="str">
        <f>HYPERLINK("http://apps.fcc.gov/ecfs/document/view?id=7520943853","Sitka School District s comment on E Rate NPRM (3 pages)")</f>
        <v>Sitka School District s comment on E Rate NPRM (3 pages)</v>
      </c>
      <c r="L167" s="12" t="str">
        <f>HYPERLINK("http://www.e-ratecentral.com/FCC/ERate20NPRMComments/pdf/91613sitka.pdf","Sitka School District (3 pages)")</f>
        <v>Sitka School District (3 pages)</v>
      </c>
    </row>
    <row r="168" spans="1:12" ht="12.75">
      <c r="A168" t="s">
        <v>6</v>
      </c>
      <c r="B168" s="4" t="s">
        <v>62</v>
      </c>
      <c r="C168" t="s">
        <v>63</v>
      </c>
      <c r="D168" t="s">
        <v>21</v>
      </c>
      <c r="E168" t="s">
        <v>9</v>
      </c>
      <c r="F168" t="s">
        <v>10</v>
      </c>
      <c r="G168" t="s">
        <v>11</v>
      </c>
      <c r="H168" s="1" t="str">
        <f>HYPERLINK("http://apps.fcc.gov/ecfs/document/view?id=7520943892","  (17 pages)")</f>
        <v>  (17 pages)</v>
      </c>
      <c r="L168" s="12" t="str">
        <f>HYPERLINK("http://www.e-ratecentral.com/FCC/ERate20NPRMComments/pdf/SmartEdgeNet_NPRM_Comments_9162013.pdf","SmartEdgeNet, LLC (17 pages)")</f>
        <v>SmartEdgeNet, LLC (17 pages)</v>
      </c>
    </row>
    <row r="169" spans="1:12" ht="12.75">
      <c r="A169" t="s">
        <v>6</v>
      </c>
      <c r="B169" s="4" t="s">
        <v>1078</v>
      </c>
      <c r="D169" t="s">
        <v>21</v>
      </c>
      <c r="E169" t="s">
        <v>1070</v>
      </c>
      <c r="F169" t="s">
        <v>10</v>
      </c>
      <c r="G169" t="s">
        <v>11</v>
      </c>
      <c r="H169" s="1" t="str">
        <f>HYPERLINK("http://apps.fcc.gov/ecfs/document/view?id=7520944405","  (9 pages)")</f>
        <v>  (9 pages)</v>
      </c>
      <c r="L169" s="12" t="str">
        <f>HYPERLINK("http://www.e-ratecentral.com/FCC/ERate20NPRMComments/pdf/siia_comments_on_fcc_erate_sept2013_nprm.pdf","Software &amp; Information Industry Association (9 pages)")</f>
        <v>Software &amp; Information Industry Association (9 pages)</v>
      </c>
    </row>
    <row r="170" spans="1:12" ht="12.75">
      <c r="A170" t="s">
        <v>6</v>
      </c>
      <c r="B170" s="4" t="s">
        <v>314</v>
      </c>
      <c r="D170" t="s">
        <v>21</v>
      </c>
      <c r="E170" t="s">
        <v>21</v>
      </c>
      <c r="F170" t="s">
        <v>10</v>
      </c>
      <c r="G170" t="s">
        <v>11</v>
      </c>
      <c r="H170" s="1" t="str">
        <f>HYPERLINK("http://apps.fcc.gov/ecfs/document/view?id=7520943795","  (10 pages)")</f>
        <v>  (10 pages)</v>
      </c>
      <c r="L170" s="12" t="str">
        <f>HYPERLINK("http://www.e-ratecentral.com/FCC/ERate20NPRMComments/pdf/South Carolina K12 School Technology Initiative NPRM State Init Comments.pdf","South Carolina K-12 School Technology Initiative (10 pages)")</f>
        <v>South Carolina K-12 School Technology Initiative (10 pages)</v>
      </c>
    </row>
    <row r="171" spans="1:12" ht="12.75">
      <c r="A171" t="s">
        <v>6</v>
      </c>
      <c r="B171" s="4" t="s">
        <v>61</v>
      </c>
      <c r="D171" t="s">
        <v>21</v>
      </c>
      <c r="E171" t="s">
        <v>9</v>
      </c>
      <c r="F171" t="s">
        <v>10</v>
      </c>
      <c r="G171" t="s">
        <v>11</v>
      </c>
      <c r="H171" s="1" t="str">
        <f>HYPERLINK("http://apps.fcc.gov/ecfs/document/view?id=7520944031","  (25 pages)")</f>
        <v>  (25 pages)</v>
      </c>
      <c r="L171" s="12" t="str">
        <f>HYPERLINK("http://www.e-ratecentral.com/FCC/ERate20NPRMComments/pdf/South Dakota Comments.pdf","South Dakota Dep't of Education and Bureau of Information and Telecommunications (25 pages)")</f>
        <v>South Dakota Dep't of Education and Bureau of Information and Telecommunications (25 pages)</v>
      </c>
    </row>
    <row r="172" spans="1:12" ht="12.75">
      <c r="A172" t="s">
        <v>6</v>
      </c>
      <c r="B172" s="4" t="s">
        <v>60</v>
      </c>
      <c r="D172" t="s">
        <v>21</v>
      </c>
      <c r="E172" t="s">
        <v>9</v>
      </c>
      <c r="F172" t="s">
        <v>10</v>
      </c>
      <c r="G172" t="s">
        <v>11</v>
      </c>
      <c r="H172" s="1" t="str">
        <f>HYPERLINK("http://apps.fcc.gov/ecfs/document/view?id=7520943985","  (22 pages)")</f>
        <v>  (22 pages)</v>
      </c>
      <c r="L172" s="12" t="str">
        <f>HYPERLINK("http://www.e-ratecentral.com/FCC/ERate20NPRMComments/pdf/91713sprint.pdf","Sprint Corp. (22 pages)")</f>
        <v>Sprint Corp. (22 pages)</v>
      </c>
    </row>
    <row r="173" spans="1:12" ht="12.75">
      <c r="A173" t="s">
        <v>6</v>
      </c>
      <c r="B173" s="4" t="s">
        <v>59</v>
      </c>
      <c r="D173" t="s">
        <v>21</v>
      </c>
      <c r="E173" t="s">
        <v>9</v>
      </c>
      <c r="F173" t="s">
        <v>10</v>
      </c>
      <c r="G173" t="s">
        <v>11</v>
      </c>
      <c r="H173" s="1" t="str">
        <f>HYPERLINK("http://apps.fcc.gov/ecfs/document/view?id=7520944137","  (5 pages)")</f>
        <v>  (5 pages)</v>
      </c>
      <c r="L173" s="12" t="str">
        <f>HYPERLINK("http://www.e-ratecentral.com/FCC/ERate20NPRMComments/pdf/StateConsortiaGroup_NPRM_comments_9-16-2013.pdf","State Consortia Group (SCG) (5 pages)")</f>
        <v>State Consortia Group (SCG) (5 pages)</v>
      </c>
    </row>
    <row r="174" spans="1:12" ht="12.75">
      <c r="A174" t="s">
        <v>6</v>
      </c>
      <c r="B174" s="4" t="s">
        <v>56</v>
      </c>
      <c r="D174" t="s">
        <v>21</v>
      </c>
      <c r="E174" t="s">
        <v>9</v>
      </c>
      <c r="F174" t="s">
        <v>10</v>
      </c>
      <c r="G174" t="s">
        <v>11</v>
      </c>
      <c r="H174" s="1" t="str">
        <f>HYPERLINK("http://apps.fcc.gov/ecfs/document/view?id=7520944050","SETDA Comments on E rate Modernization (24 pages)")</f>
        <v>SETDA Comments on E rate Modernization (24 pages)</v>
      </c>
      <c r="I174" s="1" t="str">
        <f>HYPERLINK("http://apps.fcc.gov/ecfs/document/view?id=7520944051","The Broadband Imperative Recommendations to Address K 12 Education Infrastructu (37 pages)")</f>
        <v>The Broadband Imperative Recommendations to Address K 12 Education Infrastructu (37 pages)</v>
      </c>
      <c r="J174" s="1" t="str">
        <f>HYPERLINK("http://apps.fcc.gov/ecfs/document/view?id=7520944385","  (2 pages)")</f>
        <v>  (2 pages)</v>
      </c>
      <c r="L174" s="12" t="str">
        <f>HYPERLINK("http://www.e-ratecentral.com/FCC/ERate20NPRMComments/pdf/SEDTA_NPRM_Comments_9-16-2013.pdf","State Educational Technology Directors Association (SETDA) (24 pages)")</f>
        <v>State Educational Technology Directors Association (SETDA) (24 pages)</v>
      </c>
    </row>
    <row r="175" spans="1:12" ht="12.75">
      <c r="A175" t="s">
        <v>6</v>
      </c>
      <c r="B175" s="4" t="s">
        <v>57</v>
      </c>
      <c r="C175" t="s">
        <v>58</v>
      </c>
      <c r="D175" t="s">
        <v>21</v>
      </c>
      <c r="E175" t="s">
        <v>9</v>
      </c>
      <c r="F175" t="s">
        <v>10</v>
      </c>
      <c r="G175" t="s">
        <v>11</v>
      </c>
      <c r="H175" s="1" t="str">
        <f>HYPERLINK("http://apps.fcc.gov/ecfs/document/view?id=7520944060","  (54 pages)")</f>
        <v>  (54 pages)</v>
      </c>
      <c r="L175" s="12" t="str">
        <f>HYPERLINK("http://www.e-ratecentral.com/FCC/ERate20NPRMComments/pdf/SECA Comments.pdf","State E-rate Coordinators' Alliance (54 pages)")</f>
        <v>State E-rate Coordinators' Alliance (54 pages)</v>
      </c>
    </row>
    <row r="176" spans="1:12" ht="12.75">
      <c r="A176" t="s">
        <v>6</v>
      </c>
      <c r="B176" s="4" t="s">
        <v>55</v>
      </c>
      <c r="D176" t="s">
        <v>21</v>
      </c>
      <c r="E176" t="s">
        <v>9</v>
      </c>
      <c r="F176" t="s">
        <v>10</v>
      </c>
      <c r="G176" t="s">
        <v>11</v>
      </c>
      <c r="H176" s="1" t="str">
        <f>HYPERLINK("http://apps.fcc.gov/ecfs/document/view?id=7520944002","  (21 pages)")</f>
        <v>  (21 pages)</v>
      </c>
      <c r="L176" s="12" t="str">
        <f>HYPERLINK("http://www.e-ratecentral.com/FCC/ERate20NPRMComments/pdf/Alaska Comments.pdf","State of Alaska (21 pages)")</f>
        <v>State of Alaska (21 pages)</v>
      </c>
    </row>
    <row r="177" spans="1:12" ht="12.75">
      <c r="A177" t="s">
        <v>6</v>
      </c>
      <c r="B177" s="4" t="s">
        <v>54</v>
      </c>
      <c r="D177" t="s">
        <v>21</v>
      </c>
      <c r="E177" t="s">
        <v>9</v>
      </c>
      <c r="F177" t="s">
        <v>10</v>
      </c>
      <c r="G177" t="s">
        <v>11</v>
      </c>
      <c r="H177" s="1" t="str">
        <f>HYPERLINK("http://apps.fcc.gov/ecfs/document/view?id=7520944019","  (32 pages)")</f>
        <v>  (32 pages)</v>
      </c>
      <c r="L177" s="12" t="str">
        <f>HYPERLINK("http://www.e-ratecentral.com/FCC/ERate20NPRMComments/pdf/Arkansas Comments.pdf","State of Arkansas (32 pages)")</f>
        <v>State of Arkansas (32 pages)</v>
      </c>
    </row>
    <row r="178" spans="1:12" ht="12.75">
      <c r="A178" t="s">
        <v>6</v>
      </c>
      <c r="B178" s="4" t="s">
        <v>52</v>
      </c>
      <c r="C178" t="s">
        <v>53</v>
      </c>
      <c r="D178" t="s">
        <v>21</v>
      </c>
      <c r="E178" t="s">
        <v>9</v>
      </c>
      <c r="F178" t="s">
        <v>10</v>
      </c>
      <c r="G178" t="s">
        <v>11</v>
      </c>
      <c r="H178" s="1" t="str">
        <f>HYPERLINK("http://apps.fcc.gov/ecfs/document/view?id=7520943989","Comments of Hawaii (21 pages)")</f>
        <v>Comments of Hawaii (21 pages)</v>
      </c>
      <c r="L178" s="12" t="str">
        <f>HYPERLINK("http://www.e-ratecentral.com/FCC/ERate20NPRMComments/pdf/HawaiiDoE_NPRM_Comments_9-16-2013.pdf","State of Hawaii (21 pages)")</f>
        <v>State of Hawaii (21 pages)</v>
      </c>
    </row>
    <row r="179" spans="1:12" ht="12.75">
      <c r="A179" t="s">
        <v>6</v>
      </c>
      <c r="B179" s="4" t="s">
        <v>291</v>
      </c>
      <c r="C179" t="s">
        <v>292</v>
      </c>
      <c r="D179" t="s">
        <v>21</v>
      </c>
      <c r="E179" t="s">
        <v>21</v>
      </c>
      <c r="F179" t="s">
        <v>10</v>
      </c>
      <c r="G179" t="s">
        <v>11</v>
      </c>
      <c r="H179" s="1" t="str">
        <f>HYPERLINK("http://apps.fcc.gov/ecfs/document/view?id=7520943802","Sunesys LLC Initial E rate NPRM Comments (15 pages)")</f>
        <v>Sunesys LLC Initial E rate NPRM Comments (15 pages)</v>
      </c>
      <c r="L179" s="12" t="str">
        <f>HYPERLINK("http://www.e-ratecentral.com/FCC/ERate20NPRMComments/pdf/Sunesys_NPRM_Comments_9-16-2013.pdf","Sunesys, LLC (15 pages)")</f>
        <v>Sunesys, LLC (15 pages)</v>
      </c>
    </row>
    <row r="180" spans="1:12" ht="12.75">
      <c r="A180" t="s">
        <v>6</v>
      </c>
      <c r="B180" s="4" t="s">
        <v>46</v>
      </c>
      <c r="D180" t="s">
        <v>21</v>
      </c>
      <c r="E180" t="s">
        <v>9</v>
      </c>
      <c r="F180" t="s">
        <v>10</v>
      </c>
      <c r="G180" t="s">
        <v>11</v>
      </c>
      <c r="H180" s="1" t="str">
        <f>HYPERLINK("http://apps.fcc.gov/ecfs/document/view?id=7520943915","  (10 pages)")</f>
        <v>  (10 pages)</v>
      </c>
      <c r="L180" s="12" t="str">
        <f>HYPERLINK("http://www.e-ratecentral.com/FCC/ERate20NPRMComments/pdf/Telecomm Industry Assn_NPRM_Comments_9-16-2013.pdf","Telecommunications Industry Association (10 pages)")</f>
        <v>Telecommunications Industry Association (10 pages)</v>
      </c>
    </row>
    <row r="181" spans="1:12" ht="12.75">
      <c r="A181" t="s">
        <v>6</v>
      </c>
      <c r="B181" s="4" t="s">
        <v>722</v>
      </c>
      <c r="D181" t="s">
        <v>717</v>
      </c>
      <c r="E181" t="s">
        <v>717</v>
      </c>
      <c r="F181" t="s">
        <v>10</v>
      </c>
      <c r="G181" t="s">
        <v>11</v>
      </c>
      <c r="H181" s="1" t="str">
        <f>HYPERLINK("http://apps.fcc.gov/ecfs/document/view?id=7520940476","  (4 pages)")</f>
        <v>  (4 pages)</v>
      </c>
      <c r="L181" s="12" t="str">
        <f>HYPERLINK("http://www.e-ratecentral.com/FCC/ERate20NPRMComments/pdf/TETN_NPRM_Comments_9162013.pdf","Texas Education Telecommunications Network (4 pages)")</f>
        <v>Texas Education Telecommunications Network (4 pages)</v>
      </c>
    </row>
    <row r="182" spans="1:8" ht="12.75">
      <c r="A182" t="s">
        <v>6</v>
      </c>
      <c r="B182" s="4" t="s">
        <v>762</v>
      </c>
      <c r="D182" t="s">
        <v>761</v>
      </c>
      <c r="E182" t="s">
        <v>761</v>
      </c>
      <c r="F182" t="s">
        <v>10</v>
      </c>
      <c r="G182" t="s">
        <v>11</v>
      </c>
      <c r="H182" s="1" t="str">
        <f>HYPERLINK("http://apps.fcc.gov/ecfs/document/view?id=7520939509","  (4 pages)")</f>
        <v>  (4 pages)</v>
      </c>
    </row>
    <row r="183" spans="1:12" ht="12.75">
      <c r="A183" t="s">
        <v>6</v>
      </c>
      <c r="B183" s="4" t="s">
        <v>895</v>
      </c>
      <c r="C183" t="s">
        <v>568</v>
      </c>
      <c r="D183" t="s">
        <v>524</v>
      </c>
      <c r="E183" t="s">
        <v>524</v>
      </c>
      <c r="F183" t="s">
        <v>10</v>
      </c>
      <c r="G183" t="s">
        <v>11</v>
      </c>
      <c r="H183" s="1" t="str">
        <f>HYPERLINK("http://apps.fcc.gov/ecfs/document/view?id=7520943037","  (7 pages)")</f>
        <v>  (7 pages)</v>
      </c>
      <c r="L183" s="12" t="str">
        <f>HYPERLINK("http://www.e-ratecentral.com/FCC/ERate20NPRMComments/pdf/TIES_7520943037.pdf","TIES Education Technology Collaborative (7 pages)")</f>
        <v>TIES Education Technology Collaborative (7 pages)</v>
      </c>
    </row>
    <row r="184" spans="1:8" ht="12.75">
      <c r="A184" t="s">
        <v>6</v>
      </c>
      <c r="B184" s="4" t="s">
        <v>558</v>
      </c>
      <c r="D184" t="s">
        <v>524</v>
      </c>
      <c r="E184" t="s">
        <v>524</v>
      </c>
      <c r="F184" t="s">
        <v>10</v>
      </c>
      <c r="G184" t="s">
        <v>11</v>
      </c>
      <c r="H184" s="1" t="str">
        <f>HYPERLINK("http://apps.fcc.gov/ecfs/document/view?id=7520943054","  (5 pages)")</f>
        <v>  (5 pages)</v>
      </c>
    </row>
    <row r="185" spans="1:12" ht="12.75">
      <c r="A185" t="s">
        <v>6</v>
      </c>
      <c r="B185" s="4" t="s">
        <v>337</v>
      </c>
      <c r="D185" t="s">
        <v>333</v>
      </c>
      <c r="E185" t="s">
        <v>21</v>
      </c>
      <c r="F185" t="s">
        <v>10</v>
      </c>
      <c r="G185" t="s">
        <v>11</v>
      </c>
      <c r="H185" s="1" t="str">
        <f>HYPERLINK("http://apps.fcc.gov/ecfs/document/view?id=7520943490","TelePacific E Rate Comments (6 pages)")</f>
        <v>TelePacific E Rate Comments (6 pages)</v>
      </c>
      <c r="L185" s="12" t="str">
        <f>HYPERLINK("http://www.e-ratecentral.com/FCC/ERate20NPRMComments/pdf/US Telepacific Comm.pdf","U.S. TelePacific Corp. (6 pages)")</f>
        <v>U.S. TelePacific Corp. (6 pages)</v>
      </c>
    </row>
    <row r="186" spans="1:12" ht="12.75">
      <c r="A186" t="s">
        <v>6</v>
      </c>
      <c r="B186" s="4" t="s">
        <v>39</v>
      </c>
      <c r="C186" t="s">
        <v>40</v>
      </c>
      <c r="D186" t="s">
        <v>21</v>
      </c>
      <c r="E186" t="s">
        <v>9</v>
      </c>
      <c r="F186" t="s">
        <v>10</v>
      </c>
      <c r="G186" t="s">
        <v>11</v>
      </c>
      <c r="H186" s="1" t="str">
        <f>HYPERLINK("http://apps.fcc.gov/ecfs/document/view?id=7520943947","  (22 pages)")</f>
        <v>  (22 pages)</v>
      </c>
      <c r="L186" s="12" t="str">
        <f>HYPERLINK("http://www.e-ratecentral.com/FCC/ERate20NPRMComments/pdf/US Cellular Comments.pdf","United States Cellular Corporation (22 pages)")</f>
        <v>United States Cellular Corporation (22 pages)</v>
      </c>
    </row>
    <row r="187" spans="1:12" ht="12.75">
      <c r="A187" t="s">
        <v>6</v>
      </c>
      <c r="B187" s="4" t="s">
        <v>269</v>
      </c>
      <c r="D187" t="s">
        <v>21</v>
      </c>
      <c r="E187" t="s">
        <v>21</v>
      </c>
      <c r="F187" t="s">
        <v>10</v>
      </c>
      <c r="G187" t="s">
        <v>11</v>
      </c>
      <c r="H187" s="1" t="str">
        <f>HYPERLINK("http://apps.fcc.gov/ecfs/document/view?id=7520943855","  (22 pages)")</f>
        <v>  (22 pages)</v>
      </c>
      <c r="L187" s="12" t="str">
        <f>HYPERLINK("http://www.e-ratecentral.com/FCC/ERate20NPRMComments/pdf/USTelecom_NPRM_comments_9-16-2013.pdf","United States Telecom Association (22 pages)")</f>
        <v>United States Telecom Association (22 pages)</v>
      </c>
    </row>
    <row r="188" spans="1:12" ht="12.75">
      <c r="A188" t="s">
        <v>6</v>
      </c>
      <c r="B188" s="4" t="s">
        <v>37</v>
      </c>
      <c r="D188" t="s">
        <v>21</v>
      </c>
      <c r="E188" t="s">
        <v>9</v>
      </c>
      <c r="F188" t="s">
        <v>10</v>
      </c>
      <c r="G188" t="s">
        <v>11</v>
      </c>
      <c r="H188" s="1" t="str">
        <f>HYPERLINK("http://apps.fcc.gov/ecfs/document/view?id=7520944009","Initial Comments (3 pages)")</f>
        <v>Initial Comments (3 pages)</v>
      </c>
      <c r="L188" s="12" t="str">
        <f>HYPERLINK("http://www.e-ratecentral.com/FCC/ERate20NPRMComments/pdf/Urban Libraries Council.pdf","Urban Libraries Council (3 pages)")</f>
        <v>Urban Libraries Council (3 pages)</v>
      </c>
    </row>
    <row r="189" spans="1:12" ht="12.75">
      <c r="A189" t="s">
        <v>6</v>
      </c>
      <c r="B189" s="4" t="s">
        <v>268</v>
      </c>
      <c r="D189" t="s">
        <v>21</v>
      </c>
      <c r="E189" t="s">
        <v>21</v>
      </c>
      <c r="F189" t="s">
        <v>10</v>
      </c>
      <c r="G189" t="s">
        <v>11</v>
      </c>
      <c r="H189" s="1" t="str">
        <f>HYPERLINK("http://apps.fcc.gov/ecfs/document/view?id=7520943844","  (20 pages)")</f>
        <v>  (20 pages)</v>
      </c>
      <c r="L189" s="12" t="str">
        <f>HYPERLINK("http://www.e-ratecentral.com/FCC/ERate20NPRMComments/pdf/Utah Comments.pdf","Utah Education Network (20 pages)")</f>
        <v>Utah Education Network (20 pages)</v>
      </c>
    </row>
    <row r="190" spans="1:12" ht="12.75">
      <c r="A190" t="s">
        <v>6</v>
      </c>
      <c r="B190" s="4" t="s">
        <v>36</v>
      </c>
      <c r="D190" t="s">
        <v>21</v>
      </c>
      <c r="E190" t="s">
        <v>9</v>
      </c>
      <c r="F190" t="s">
        <v>10</v>
      </c>
      <c r="G190" t="s">
        <v>11</v>
      </c>
      <c r="H190" s="1" t="str">
        <f>HYPERLINK("http://apps.fcc.gov/ecfs/document/view?id=7520944004","  (5 pages)")</f>
        <v>  (5 pages)</v>
      </c>
      <c r="L190" s="12" t="str">
        <f>HYPERLINK("http://www.e-ratecentral.com/FCC/ERate20NPRMComments/pdf/Vector Comments.pdf","VectorUSA (5 pages)")</f>
        <v>VectorUSA (5 pages)</v>
      </c>
    </row>
    <row r="191" spans="1:12" ht="12.75">
      <c r="A191" t="s">
        <v>6</v>
      </c>
      <c r="B191" s="4" t="s">
        <v>35</v>
      </c>
      <c r="D191" t="s">
        <v>21</v>
      </c>
      <c r="E191" t="s">
        <v>9</v>
      </c>
      <c r="F191" t="s">
        <v>10</v>
      </c>
      <c r="G191" t="s">
        <v>11</v>
      </c>
      <c r="H191" s="1" t="str">
        <f>HYPERLINK("http://apps.fcc.gov/ecfs/document/view?id=7520944041","  (40 pages)")</f>
        <v>  (40 pages)</v>
      </c>
      <c r="L191" s="12" t="str">
        <f>HYPERLINK("http://www.e-ratecentral.com/FCC/ERate20NPRMComments/pdf/Verizon_NPRMComments_9-16-2013.pdf","Verizon and Verizon Wireless (40 pages)")</f>
        <v>Verizon and Verizon Wireless (40 pages)</v>
      </c>
    </row>
    <row r="192" spans="1:12" ht="12.75">
      <c r="A192" t="s">
        <v>6</v>
      </c>
      <c r="B192" s="4" t="s">
        <v>311</v>
      </c>
      <c r="D192" t="s">
        <v>21</v>
      </c>
      <c r="E192" t="s">
        <v>21</v>
      </c>
      <c r="F192" t="s">
        <v>10</v>
      </c>
      <c r="G192" t="s">
        <v>11</v>
      </c>
      <c r="H192" s="1" t="str">
        <f>HYPERLINK("http://apps.fcc.gov/ecfs/document/view?id=7520943772","  (4 pages)")</f>
        <v>  (4 pages)</v>
      </c>
      <c r="L192" s="12" t="str">
        <f>HYPERLINK("http://www.e-ratecentral.com/FCC/ERate20NPRMComments/pdf/VermontAgencyofEducation91613vt.pdf","Vermont Agency of Education (4 pages)")</f>
        <v>Vermont Agency of Education (4 pages)</v>
      </c>
    </row>
    <row r="193" spans="1:12" ht="12.75">
      <c r="A193" t="s">
        <v>6</v>
      </c>
      <c r="B193" s="4" t="s">
        <v>335</v>
      </c>
      <c r="D193" t="s">
        <v>333</v>
      </c>
      <c r="E193" t="s">
        <v>21</v>
      </c>
      <c r="F193" t="s">
        <v>10</v>
      </c>
      <c r="G193" t="s">
        <v>11</v>
      </c>
      <c r="H193" s="1" t="str">
        <f>HYPERLINK("http://apps.fcc.gov/ecfs/document/view?id=7520943496","  (6 pages)")</f>
        <v>  (6 pages)</v>
      </c>
      <c r="L193" s="12" t="str">
        <f>HYPERLINK("http://www.e-ratecentral.com/FCC/ERate20NPRMComments/pdf/WA State.pdf","WA State Office of Superintendent of Public Instruction (6 pages)")</f>
        <v>WA State Office of Superintendent of Public Instruction (6 pages)</v>
      </c>
    </row>
    <row r="194" spans="1:8" ht="12.75">
      <c r="A194" t="s">
        <v>6</v>
      </c>
      <c r="B194" s="4" t="s">
        <v>30</v>
      </c>
      <c r="D194" t="s">
        <v>21</v>
      </c>
      <c r="E194" t="s">
        <v>9</v>
      </c>
      <c r="F194" t="s">
        <v>10</v>
      </c>
      <c r="G194" t="s">
        <v>11</v>
      </c>
      <c r="H194" s="1" t="str">
        <f>HYPERLINK("http://apps.fcc.gov/ecfs/document/view?id=7520944018","Weslaco ISD Comments (13 pages)")</f>
        <v>Weslaco ISD Comments (13 pages)</v>
      </c>
    </row>
    <row r="195" spans="1:12" ht="12.75">
      <c r="A195" t="s">
        <v>6</v>
      </c>
      <c r="B195" s="4" t="s">
        <v>29</v>
      </c>
      <c r="D195" t="s">
        <v>21</v>
      </c>
      <c r="E195" t="s">
        <v>9</v>
      </c>
      <c r="F195" t="s">
        <v>10</v>
      </c>
      <c r="G195" t="s">
        <v>11</v>
      </c>
      <c r="H195" s="1" t="str">
        <f>HYPERLINK("http://apps.fcc.gov/ecfs/document/view?id=7520943995","  (164 pages)")</f>
        <v>  (164 pages)</v>
      </c>
      <c r="L195" s="12" t="str">
        <f>HYPERLINK("http://www.e-ratecentral.com/FCC/ERate20NPRMComments/pdf/West_Virginia_Department_of_Education_NPRM_Response_WV_Docket_No_13-184_September_2013.pdf","West Virginia Department of Education (164 pages)")</f>
        <v>West Virginia Department of Education (164 pages)</v>
      </c>
    </row>
    <row r="196" spans="1:12" ht="12.75">
      <c r="A196" t="s">
        <v>6</v>
      </c>
      <c r="B196" s="4" t="s">
        <v>28</v>
      </c>
      <c r="D196" t="s">
        <v>21</v>
      </c>
      <c r="E196" t="s">
        <v>9</v>
      </c>
      <c r="F196" t="s">
        <v>10</v>
      </c>
      <c r="G196" t="s">
        <v>11</v>
      </c>
      <c r="H196" s="1" t="str">
        <f>HYPERLINK("http://apps.fcc.gov/ecfs/document/view?id=7520943870","  (9 pages)")</f>
        <v>  (9 pages)</v>
      </c>
      <c r="L196" s="12" t="str">
        <f>HYPERLINK("http://www.e-ratecentral.com/FCC/ERate20NPRMComments/pdf/Windstream_NOPRM_Comments_9162013.pdf","Windstream Corporation (9 pages)")</f>
        <v>Windstream Corporation (9 pages)</v>
      </c>
    </row>
    <row r="197" spans="1:12" ht="12.75">
      <c r="A197" t="s">
        <v>6</v>
      </c>
      <c r="B197" s="4" t="s">
        <v>26</v>
      </c>
      <c r="C197" t="s">
        <v>27</v>
      </c>
      <c r="D197" t="s">
        <v>21</v>
      </c>
      <c r="E197" t="s">
        <v>9</v>
      </c>
      <c r="F197" t="s">
        <v>10</v>
      </c>
      <c r="G197" t="s">
        <v>11</v>
      </c>
      <c r="H197" s="1" t="str">
        <f>HYPERLINK("http://apps.fcc.gov/ecfs/document/view?id=7520943924","  (7 pages)")</f>
        <v>  (7 pages)</v>
      </c>
      <c r="L197" s="12" t="str">
        <f>HYPERLINK("http://www.e-ratecentral.com/FCC/ERate20NPRMComments/pdf/Wireless ISPs Assoc.pdf","Wireless Internet Service Providers Association (7 pages)")</f>
        <v>Wireless Internet Service Providers Association (7 pages)</v>
      </c>
    </row>
    <row r="198" spans="1:12" ht="12.75">
      <c r="A198" t="s">
        <v>6</v>
      </c>
      <c r="B198" s="4" t="s">
        <v>328</v>
      </c>
      <c r="D198" t="s">
        <v>21</v>
      </c>
      <c r="E198" t="s">
        <v>21</v>
      </c>
      <c r="F198" t="s">
        <v>10</v>
      </c>
      <c r="G198" t="s">
        <v>11</v>
      </c>
      <c r="H198" s="1" t="str">
        <f>HYPERLINK("http://apps.fcc.gov/ecfs/document/view?id=7520943611","  (18 pages)")</f>
        <v>  (18 pages)</v>
      </c>
      <c r="L198" s="12" t="str">
        <f>HYPERLINK("http://www.e-ratecentral.com/FCC/ERate20NPRMComments/pdf/Wisconsin DPI Comments 9-13 1.pdf","Wisconsin Dept. of Public Instruction (18 pages)")</f>
        <v>Wisconsin Dept. of Public Instruction (18 pages)</v>
      </c>
    </row>
    <row r="199" spans="1:12" ht="12.75">
      <c r="A199" t="s">
        <v>6</v>
      </c>
      <c r="B199" s="4" t="s">
        <v>310</v>
      </c>
      <c r="D199" t="s">
        <v>21</v>
      </c>
      <c r="E199" t="s">
        <v>21</v>
      </c>
      <c r="F199" t="s">
        <v>10</v>
      </c>
      <c r="G199" t="s">
        <v>11</v>
      </c>
      <c r="H199" s="1" t="str">
        <f>HYPERLINK("http://apps.fcc.gov/ecfs/document/view?id=7520943766","  (7 pages)")</f>
        <v>  (7 pages)</v>
      </c>
      <c r="L199" s="12" t="str">
        <f>HYPERLINK("http://www.e-ratecentral.com/FCC/ERate20NPRMComments/pdf/WritersGuildofAm_NPRM_Comments-9-16-2013.pdf","Writers Guild of America, West (7 pages)")</f>
        <v>Writers Guild of America, West (7 pages)</v>
      </c>
    </row>
    <row r="200" spans="1:12" ht="12.75">
      <c r="A200" t="s">
        <v>6</v>
      </c>
      <c r="B200" s="4" t="s">
        <v>23</v>
      </c>
      <c r="C200" t="s">
        <v>159</v>
      </c>
      <c r="D200" t="s">
        <v>21</v>
      </c>
      <c r="E200" t="s">
        <v>9</v>
      </c>
      <c r="F200" t="s">
        <v>10</v>
      </c>
      <c r="G200" t="s">
        <v>11</v>
      </c>
      <c r="H200" s="1" t="str">
        <f>HYPERLINK("http://apps.fcc.gov/ecfs/document/view?id=7520943980","  (4 pages)")</f>
        <v>  (4 pages)</v>
      </c>
      <c r="L200" s="12" t="str">
        <f>HYPERLINK("http://www.e-ratecentral.com/FCC/ERate20NPRMComments/pdf/Jeff Jennings Comments.pdf","Xirrus,Inc. (4 pages)")</f>
        <v>Xirrus,Inc. (4 pages)</v>
      </c>
    </row>
    <row r="201" ht="12.75">
      <c r="H201" s="1"/>
    </row>
    <row r="202" spans="1:8" ht="12.75">
      <c r="A202" s="5" t="s">
        <v>1098</v>
      </c>
      <c r="H202" s="1"/>
    </row>
    <row r="203" spans="1:8" ht="12.75">
      <c r="A203" t="s">
        <v>6</v>
      </c>
      <c r="B203" s="4" t="s">
        <v>1025</v>
      </c>
      <c r="C203" t="s">
        <v>732</v>
      </c>
      <c r="D203" t="s">
        <v>728</v>
      </c>
      <c r="E203" t="s">
        <v>717</v>
      </c>
      <c r="F203" t="s">
        <v>10</v>
      </c>
      <c r="G203" t="s">
        <v>11</v>
      </c>
      <c r="H203" s="1" t="str">
        <f>HYPERLINK("http://apps.fcc.gov/ecfs/document/view?id=7520940391","  (2 pages)")</f>
        <v>  (2 pages)</v>
      </c>
    </row>
    <row r="204" spans="1:8" ht="12.75">
      <c r="A204" t="s">
        <v>6</v>
      </c>
      <c r="B204" s="4" t="s">
        <v>881</v>
      </c>
      <c r="C204" t="s">
        <v>351</v>
      </c>
      <c r="D204" t="s">
        <v>21</v>
      </c>
      <c r="E204" t="s">
        <v>21</v>
      </c>
      <c r="F204" t="s">
        <v>10</v>
      </c>
      <c r="G204" t="s">
        <v>11</v>
      </c>
      <c r="H204" s="1" t="str">
        <f>HYPERLINK("http://apps.fcc.gov/ecfs/document/view?id=7520943646","AESD Comment on NPRM changes to Email and Web Hosting (2 pages)")</f>
        <v>AESD Comment on NPRM changes to Email and Web Hosting (2 pages)</v>
      </c>
    </row>
    <row r="205" spans="1:8" ht="12.75">
      <c r="A205" t="s">
        <v>6</v>
      </c>
      <c r="B205" s="4" t="s">
        <v>1093</v>
      </c>
      <c r="C205" t="s">
        <v>1087</v>
      </c>
      <c r="D205" t="s">
        <v>9</v>
      </c>
      <c r="E205" t="s">
        <v>1070</v>
      </c>
      <c r="F205" t="s">
        <v>10</v>
      </c>
      <c r="G205" t="s">
        <v>11</v>
      </c>
      <c r="H205" s="1" t="str">
        <f>HYPERLINK("http://apps.fcc.gov/ecfs/document/view?id=7520944349","Amy Biehl High School E Rate NPRM Comments (2 pages)")</f>
        <v>Amy Biehl High School E Rate NPRM Comments (2 pages)</v>
      </c>
    </row>
    <row r="206" spans="1:12" ht="12.75">
      <c r="A206" t="s">
        <v>6</v>
      </c>
      <c r="B206" s="4" t="s">
        <v>326</v>
      </c>
      <c r="D206" t="s">
        <v>21</v>
      </c>
      <c r="E206" t="s">
        <v>21</v>
      </c>
      <c r="F206" t="s">
        <v>10</v>
      </c>
      <c r="G206" t="s">
        <v>11</v>
      </c>
      <c r="H206" s="1" t="str">
        <f>HYPERLINK("http://apps.fcc.gov/ecfs/document/view?id=7520943757","  (2 pages)")</f>
        <v>  (2 pages)</v>
      </c>
      <c r="L206" s="12" t="str">
        <f>HYPERLINK("http://www.e-ratecentral.com/FCC/ERate20NPRMComments/pdf/ArchorageDistrict_NPRM_Comments_9-16-2013.pdf","Anchorage School District (2 pages)")</f>
        <v>Anchorage School District (2 pages)</v>
      </c>
    </row>
    <row r="207" spans="1:8" ht="12.75">
      <c r="A207" t="s">
        <v>6</v>
      </c>
      <c r="B207" s="4" t="s">
        <v>1003</v>
      </c>
      <c r="C207" t="s">
        <v>733</v>
      </c>
      <c r="D207" t="s">
        <v>728</v>
      </c>
      <c r="E207" t="s">
        <v>728</v>
      </c>
      <c r="F207" t="s">
        <v>10</v>
      </c>
      <c r="G207" t="s">
        <v>11</v>
      </c>
      <c r="H207" s="1" t="str">
        <f>HYPERLINK("http://apps.fcc.gov/ecfs/document/view?id=7520940361","  (2 pages)")</f>
        <v>  (2 pages)</v>
      </c>
    </row>
    <row r="208" spans="1:8" ht="12.75">
      <c r="A208" t="s">
        <v>6</v>
      </c>
      <c r="B208" s="4" t="s">
        <v>843</v>
      </c>
      <c r="C208" t="s">
        <v>739</v>
      </c>
      <c r="D208" t="s">
        <v>738</v>
      </c>
      <c r="E208" t="s">
        <v>738</v>
      </c>
      <c r="F208" t="s">
        <v>10</v>
      </c>
      <c r="G208" t="s">
        <v>11</v>
      </c>
      <c r="H208" s="1" t="str">
        <f>HYPERLINK("http://apps.fcc.gov/ecfs/document/view?id=7520940191","  (2 pages)")</f>
        <v>  (2 pages)</v>
      </c>
    </row>
    <row r="209" spans="1:8" ht="12.75">
      <c r="A209" t="s">
        <v>6</v>
      </c>
      <c r="B209" s="4" t="s">
        <v>1034</v>
      </c>
      <c r="C209" t="s">
        <v>240</v>
      </c>
      <c r="D209" t="s">
        <v>21</v>
      </c>
      <c r="E209" t="s">
        <v>9</v>
      </c>
      <c r="F209" t="s">
        <v>10</v>
      </c>
      <c r="G209" t="s">
        <v>11</v>
      </c>
      <c r="H209" s="1" t="str">
        <f>HYPERLINK("http://apps.fcc.gov/ecfs/document/view?id=7520944121","  (2 pages)")</f>
        <v>  (2 pages)</v>
      </c>
    </row>
    <row r="210" spans="1:8" ht="12.75">
      <c r="A210" t="s">
        <v>6</v>
      </c>
      <c r="B210" s="4" t="s">
        <v>884</v>
      </c>
      <c r="C210" t="s">
        <v>689</v>
      </c>
      <c r="D210" t="s">
        <v>673</v>
      </c>
      <c r="E210" t="s">
        <v>673</v>
      </c>
      <c r="F210" t="s">
        <v>10</v>
      </c>
      <c r="G210" t="s">
        <v>11</v>
      </c>
      <c r="H210" s="1" t="str">
        <f>HYPERLINK("http://apps.fcc.gov/ecfs/document/view?id=7520942535"," (2 pages)")</f>
        <v> (2 pages)</v>
      </c>
    </row>
    <row r="211" spans="1:9" ht="12.75">
      <c r="A211" t="s">
        <v>6</v>
      </c>
      <c r="B211" s="4" t="s">
        <v>812</v>
      </c>
      <c r="C211" t="s">
        <v>743</v>
      </c>
      <c r="D211" t="s">
        <v>738</v>
      </c>
      <c r="E211" t="s">
        <v>738</v>
      </c>
      <c r="F211" t="s">
        <v>10</v>
      </c>
      <c r="G211" t="s">
        <v>11</v>
      </c>
      <c r="H211" s="1" t="str">
        <f>HYPERLINK("http://apps.fcc.gov/ecfs/document/view?id=7520940203","  (2 pages)")</f>
        <v>  (2 pages)</v>
      </c>
      <c r="I211" s="1"/>
    </row>
    <row r="212" spans="1:8" ht="12.75">
      <c r="A212" t="s">
        <v>6</v>
      </c>
      <c r="B212" s="4" t="s">
        <v>924</v>
      </c>
      <c r="C212" t="s">
        <v>144</v>
      </c>
      <c r="D212" t="s">
        <v>21</v>
      </c>
      <c r="E212" t="s">
        <v>9</v>
      </c>
      <c r="F212" t="s">
        <v>10</v>
      </c>
      <c r="G212" t="s">
        <v>11</v>
      </c>
      <c r="H212" s="1" t="str">
        <f>HYPERLINK("http://apps.fcc.gov/ecfs/document/view?id=7520944095","Bayshore (2 pages)")</f>
        <v>Bayshore (2 pages)</v>
      </c>
    </row>
    <row r="213" spans="1:12" ht="12.75">
      <c r="A213" t="s">
        <v>6</v>
      </c>
      <c r="B213" s="4" t="s">
        <v>936</v>
      </c>
      <c r="C213" t="s">
        <v>364</v>
      </c>
      <c r="D213" t="s">
        <v>21</v>
      </c>
      <c r="E213" t="s">
        <v>21</v>
      </c>
      <c r="F213" t="s">
        <v>10</v>
      </c>
      <c r="G213" t="s">
        <v>11</v>
      </c>
      <c r="H213" s="1" t="str">
        <f>HYPERLINK("http://apps.fcc.gov/ecfs/document/view?id=7520943716","BUSD Comment on 13 184 (2 pages)")</f>
        <v>BUSD Comment on 13 184 (2 pages)</v>
      </c>
      <c r="L213" s="12" t="str">
        <f>HYPERLINK("http://www.e-ratecentral.com/FCC/ERate20NPRMComments/pdf/BeaumontCA_NPRM_Comments_9-16-2013.pdf","Beaumont Unified School District (2 pages)")</f>
        <v>Beaumont Unified School District (2 pages)</v>
      </c>
    </row>
    <row r="214" spans="1:8" ht="12.75">
      <c r="A214" t="s">
        <v>6</v>
      </c>
      <c r="B214" s="4" t="s">
        <v>865</v>
      </c>
      <c r="C214" t="s">
        <v>84</v>
      </c>
      <c r="D214" t="s">
        <v>21</v>
      </c>
      <c r="E214" t="s">
        <v>9</v>
      </c>
      <c r="F214" t="s">
        <v>10</v>
      </c>
      <c r="G214" t="s">
        <v>11</v>
      </c>
      <c r="H214" s="1" t="str">
        <f>HYPERLINK("http://apps.fcc.gov/ecfs/document/view?id=7520944129","  (2 pages)")</f>
        <v>  (2 pages)</v>
      </c>
    </row>
    <row r="215" spans="1:8" ht="12.75">
      <c r="A215" t="s">
        <v>6</v>
      </c>
      <c r="B215" s="4" t="s">
        <v>1123</v>
      </c>
      <c r="D215" t="s">
        <v>598</v>
      </c>
      <c r="E215" t="s">
        <v>1109</v>
      </c>
      <c r="F215" t="s">
        <v>10</v>
      </c>
      <c r="G215" t="s">
        <v>11</v>
      </c>
      <c r="H215" s="1" t="str">
        <f>HYPERLINK("http://apps.fcc.gov/ecfs/document/view?id=7520944648","  (2 pages)")</f>
        <v>  (2 pages)</v>
      </c>
    </row>
    <row r="216" spans="1:8" ht="12.75">
      <c r="A216" t="s">
        <v>6</v>
      </c>
      <c r="B216" s="4" t="s">
        <v>308</v>
      </c>
      <c r="D216" t="s">
        <v>21</v>
      </c>
      <c r="E216" t="s">
        <v>21</v>
      </c>
      <c r="F216" t="s">
        <v>10</v>
      </c>
      <c r="G216" t="s">
        <v>11</v>
      </c>
      <c r="H216" s="1" t="str">
        <f>HYPERLINK("http://apps.fcc.gov/ecfs/document/view?id=7520943818","  (2 pages)")</f>
        <v>  (2 pages)</v>
      </c>
    </row>
    <row r="217" spans="1:8" ht="12.75">
      <c r="A217" t="s">
        <v>6</v>
      </c>
      <c r="B217" s="4" t="s">
        <v>1030</v>
      </c>
      <c r="C217" t="s">
        <v>493</v>
      </c>
      <c r="D217" t="s">
        <v>333</v>
      </c>
      <c r="E217" t="s">
        <v>333</v>
      </c>
      <c r="F217" t="s">
        <v>10</v>
      </c>
      <c r="G217" t="s">
        <v>11</v>
      </c>
      <c r="H217" s="1" t="str">
        <f>HYPERLINK("http://apps.fcc.gov/ecfs/document/view?id=7520943288","  (2 pages)")</f>
        <v>  (2 pages)</v>
      </c>
    </row>
    <row r="218" spans="1:9" ht="12.75">
      <c r="A218" t="s">
        <v>6</v>
      </c>
      <c r="B218" s="4" t="s">
        <v>811</v>
      </c>
      <c r="C218" t="s">
        <v>740</v>
      </c>
      <c r="D218" t="s">
        <v>738</v>
      </c>
      <c r="E218" t="s">
        <v>738</v>
      </c>
      <c r="F218" t="s">
        <v>10</v>
      </c>
      <c r="G218" t="s">
        <v>11</v>
      </c>
      <c r="H218" s="1" t="str">
        <f>HYPERLINK("http://apps.fcc.gov/ecfs/document/view?id=7520940229","e rate (2 pages)")</f>
        <v>e rate (2 pages)</v>
      </c>
      <c r="I218" s="1"/>
    </row>
    <row r="219" spans="1:12" ht="12.75">
      <c r="A219" t="s">
        <v>6</v>
      </c>
      <c r="B219" s="4" t="s">
        <v>893</v>
      </c>
      <c r="C219" t="s">
        <v>892</v>
      </c>
      <c r="D219" t="s">
        <v>21</v>
      </c>
      <c r="E219" t="s">
        <v>21</v>
      </c>
      <c r="F219" t="s">
        <v>10</v>
      </c>
      <c r="G219" t="s">
        <v>11</v>
      </c>
      <c r="H219" s="1" t="str">
        <f>HYPERLINK("http://apps.fcc.gov/ecfs/document/view?id=7520943792","  (2 pages)")</f>
        <v>  (2 pages)</v>
      </c>
      <c r="L219" s="12" t="str">
        <f>HYPERLINK("http://www.e-ratecentral.com/FCC/ERate20NPRMComments/pdf/Cinncinati_NPRM_comments_9-16-2013.pdf","Cincinnati City School District (2 pages)")</f>
        <v>Cincinnati City School District (2 pages)</v>
      </c>
    </row>
    <row r="220" spans="1:8" ht="12.75">
      <c r="A220" t="s">
        <v>6</v>
      </c>
      <c r="B220" s="4" t="s">
        <v>919</v>
      </c>
      <c r="C220" t="s">
        <v>535</v>
      </c>
      <c r="D220" t="s">
        <v>333</v>
      </c>
      <c r="E220" t="s">
        <v>333</v>
      </c>
      <c r="F220" t="s">
        <v>10</v>
      </c>
      <c r="G220" t="s">
        <v>11</v>
      </c>
      <c r="H220" s="1" t="str">
        <f>HYPERLINK("http://apps.fcc.gov/ecfs/document/view?id=7520943229"," (2 pages)")</f>
        <v> (2 pages)</v>
      </c>
    </row>
    <row r="221" spans="1:8" ht="12.75">
      <c r="A221" t="s">
        <v>6</v>
      </c>
      <c r="B221" s="4" t="s">
        <v>1039</v>
      </c>
      <c r="C221" t="s">
        <v>647</v>
      </c>
      <c r="D221" t="s">
        <v>598</v>
      </c>
      <c r="E221" t="s">
        <v>598</v>
      </c>
      <c r="F221" t="s">
        <v>10</v>
      </c>
      <c r="G221" t="s">
        <v>11</v>
      </c>
      <c r="H221" s="1" t="str">
        <f>HYPERLINK("http://apps.fcc.gov/ecfs/document/view?id=7520942879","FCC Plea (2 pages)")</f>
        <v>FCC Plea (2 pages)</v>
      </c>
    </row>
    <row r="222" spans="1:8" ht="12.75">
      <c r="A222" t="s">
        <v>6</v>
      </c>
      <c r="B222" s="4" t="s">
        <v>942</v>
      </c>
      <c r="C222" t="s">
        <v>155</v>
      </c>
      <c r="D222" t="s">
        <v>21</v>
      </c>
      <c r="E222" t="s">
        <v>9</v>
      </c>
      <c r="F222" t="s">
        <v>10</v>
      </c>
      <c r="G222" t="s">
        <v>11</v>
      </c>
      <c r="H222" s="1" t="str">
        <f>HYPERLINK("http://apps.fcc.gov/ecfs/document/view?id=7520944094","  (2 pages)")</f>
        <v>  (2 pages)</v>
      </c>
    </row>
    <row r="223" spans="1:12" ht="12.75">
      <c r="A223" t="s">
        <v>6</v>
      </c>
      <c r="B223" s="4" t="s">
        <v>694</v>
      </c>
      <c r="D223" t="s">
        <v>685</v>
      </c>
      <c r="E223" t="s">
        <v>673</v>
      </c>
      <c r="F223" t="s">
        <v>10</v>
      </c>
      <c r="G223" t="s">
        <v>11</v>
      </c>
      <c r="H223" s="1" t="str">
        <f>HYPERLINK("http://apps.fcc.gov/ecfs/document/view?id=7520942290","  (2 pages)")</f>
        <v>  (2 pages)</v>
      </c>
      <c r="L223" s="12" t="str">
        <f>HYPERLINK("http://www.e-ratecentral.com/FCC/ERate20NPRMComments/pdf/ColumbiaPublicMO_NPRM_Comments_9162013.pdf","Columbia Public Schools (2 pages)")</f>
        <v>Columbia Public Schools (2 pages)</v>
      </c>
    </row>
    <row r="224" spans="1:8" ht="12.75">
      <c r="A224" t="s">
        <v>6</v>
      </c>
      <c r="B224" s="4" t="s">
        <v>862</v>
      </c>
      <c r="C224" t="s">
        <v>81</v>
      </c>
      <c r="D224" t="s">
        <v>21</v>
      </c>
      <c r="E224" t="s">
        <v>9</v>
      </c>
      <c r="F224" t="s">
        <v>10</v>
      </c>
      <c r="G224" t="s">
        <v>11</v>
      </c>
      <c r="H224" s="1" t="str">
        <f>HYPERLINK("http://apps.fcc.gov/ecfs/document/view?id=7520944092","Comanche TX (2 pages)")</f>
        <v>Comanche TX (2 pages)</v>
      </c>
    </row>
    <row r="225" spans="1:8" ht="12.75">
      <c r="A225" t="s">
        <v>6</v>
      </c>
      <c r="B225" s="4" t="s">
        <v>521</v>
      </c>
      <c r="D225" t="s">
        <v>333</v>
      </c>
      <c r="E225" t="s">
        <v>333</v>
      </c>
      <c r="F225" t="s">
        <v>10</v>
      </c>
      <c r="G225" t="s">
        <v>11</v>
      </c>
      <c r="H225" s="1" t="str">
        <f>HYPERLINK("http://apps.fcc.gov/ecfs/document/view?id=7520943271","  (2 pages)")</f>
        <v>  (2 pages)</v>
      </c>
    </row>
    <row r="226" spans="1:9" ht="12.75">
      <c r="A226" t="s">
        <v>6</v>
      </c>
      <c r="B226" s="4" t="s">
        <v>975</v>
      </c>
      <c r="C226" t="s">
        <v>978</v>
      </c>
      <c r="D226" t="s">
        <v>21</v>
      </c>
      <c r="E226" t="s">
        <v>9</v>
      </c>
      <c r="F226" t="s">
        <v>10</v>
      </c>
      <c r="G226" t="s">
        <v>11</v>
      </c>
      <c r="H226" s="1" t="str">
        <f>HYPERLINK("http://apps.fcc.gov/ecfs/document/view?id=7520944144","  (2 pages)")</f>
        <v>  (2 pages)</v>
      </c>
      <c r="I226" s="1" t="str">
        <f>HYPERLINK("http://apps.fcc.gov/ecfs/document/view?id=7520944161","Comments on E Rate modernization (3 pages)")</f>
        <v>Comments on E Rate modernization (3 pages)</v>
      </c>
    </row>
    <row r="227" spans="1:8" ht="12.75">
      <c r="A227" t="s">
        <v>6</v>
      </c>
      <c r="B227" s="4" t="s">
        <v>668</v>
      </c>
      <c r="D227" t="s">
        <v>553</v>
      </c>
      <c r="E227" t="s">
        <v>652</v>
      </c>
      <c r="F227" t="s">
        <v>10</v>
      </c>
      <c r="G227" t="s">
        <v>11</v>
      </c>
      <c r="H227" s="1" t="str">
        <f>HYPERLINK("http://apps.fcc.gov/ecfs/document/view?id=7520942723","  (2 pages)")</f>
        <v>  (2 pages)</v>
      </c>
    </row>
    <row r="228" spans="1:8" ht="12.75">
      <c r="A228" t="s">
        <v>6</v>
      </c>
      <c r="B228" s="4" t="s">
        <v>305</v>
      </c>
      <c r="D228" t="s">
        <v>21</v>
      </c>
      <c r="E228" t="s">
        <v>21</v>
      </c>
      <c r="F228" t="s">
        <v>10</v>
      </c>
      <c r="G228" t="s">
        <v>11</v>
      </c>
      <c r="H228" s="1" t="str">
        <f>HYPERLINK("http://apps.fcc.gov/ecfs/document/view?id=7520943798","  (2 pages)")</f>
        <v>  (2 pages)</v>
      </c>
    </row>
    <row r="229" spans="1:8" ht="12.75">
      <c r="A229" t="s">
        <v>6</v>
      </c>
      <c r="B229" s="4" t="s">
        <v>1001</v>
      </c>
      <c r="C229" t="s">
        <v>199</v>
      </c>
      <c r="D229" t="s">
        <v>21</v>
      </c>
      <c r="E229" t="s">
        <v>9</v>
      </c>
      <c r="F229" t="s">
        <v>10</v>
      </c>
      <c r="G229" t="s">
        <v>11</v>
      </c>
      <c r="H229" s="1" t="str">
        <f>HYPERLINK("http://apps.fcc.gov/ecfs/document/view?id=7520944118","  (2 pages)")</f>
        <v>  (2 pages)</v>
      </c>
    </row>
    <row r="230" spans="1:12" ht="12.75">
      <c r="A230" t="s">
        <v>6</v>
      </c>
      <c r="B230" s="4" t="s">
        <v>822</v>
      </c>
      <c r="C230" t="s">
        <v>41</v>
      </c>
      <c r="D230" t="s">
        <v>21</v>
      </c>
      <c r="E230" t="s">
        <v>9</v>
      </c>
      <c r="F230" t="s">
        <v>10</v>
      </c>
      <c r="G230" t="s">
        <v>11</v>
      </c>
      <c r="H230" s="1" t="str">
        <f>HYPERLINK("http://apps.fcc.gov/ecfs/document/view?id=7520944120","  (2 pages)")</f>
        <v>  (2 pages)</v>
      </c>
      <c r="L230" s="12" t="str">
        <f>HYPERLINK("http://www.e-ratecentral.com/FCC/ERate20NPRMComments/pdf/EducationalSrvDistrict112_WA_NPRM_Comments_9162013.pdf","Education Service District 112 (2 pages)")</f>
        <v>Education Service District 112 (2 pages)</v>
      </c>
    </row>
    <row r="231" spans="1:8" ht="12.75">
      <c r="A231" t="s">
        <v>6</v>
      </c>
      <c r="B231" s="4" t="s">
        <v>828</v>
      </c>
      <c r="C231" t="s">
        <v>597</v>
      </c>
      <c r="D231" t="s">
        <v>598</v>
      </c>
      <c r="E231" t="s">
        <v>524</v>
      </c>
      <c r="F231" t="s">
        <v>10</v>
      </c>
      <c r="G231" t="s">
        <v>11</v>
      </c>
      <c r="H231" s="1" t="str">
        <f>HYPERLINK("http://apps.fcc.gov/ecfs/document/view?id=7520942955","  (2 pages)")</f>
        <v>  (2 pages)</v>
      </c>
    </row>
    <row r="232" spans="1:8" ht="12.75">
      <c r="A232" t="s">
        <v>6</v>
      </c>
      <c r="B232" s="4" t="s">
        <v>640</v>
      </c>
      <c r="D232" t="s">
        <v>598</v>
      </c>
      <c r="E232" t="s">
        <v>598</v>
      </c>
      <c r="F232" t="s">
        <v>10</v>
      </c>
      <c r="G232" t="s">
        <v>11</v>
      </c>
      <c r="H232" s="1" t="str">
        <f>HYPERLINK("http://apps.fcc.gov/ecfs/document/view?id=7520942900","  (2 pages)")</f>
        <v>  (2 pages)</v>
      </c>
    </row>
    <row r="233" spans="1:8" ht="12.75">
      <c r="A233" t="s">
        <v>6</v>
      </c>
      <c r="B233" s="4" t="s">
        <v>371</v>
      </c>
      <c r="D233" t="s">
        <v>21</v>
      </c>
      <c r="E233" t="s">
        <v>21</v>
      </c>
      <c r="F233" t="s">
        <v>10</v>
      </c>
      <c r="G233" t="s">
        <v>11</v>
      </c>
      <c r="H233" s="1" t="str">
        <f>HYPERLINK("http://apps.fcc.gov/ecfs/document/view?id=7520943749","  (2 pages)")</f>
        <v>  (2 pages)</v>
      </c>
    </row>
    <row r="234" spans="1:8" ht="12.75">
      <c r="A234" t="s">
        <v>6</v>
      </c>
      <c r="B234" s="4" t="s">
        <v>998</v>
      </c>
      <c r="C234" t="s">
        <v>667</v>
      </c>
      <c r="D234" t="s">
        <v>553</v>
      </c>
      <c r="E234" t="s">
        <v>652</v>
      </c>
      <c r="F234" t="s">
        <v>10</v>
      </c>
      <c r="G234" t="s">
        <v>11</v>
      </c>
      <c r="H234" s="1" t="str">
        <f>HYPERLINK("http://apps.fcc.gov/ecfs/document/view?id=7520942767","  (2 pages)")</f>
        <v>  (2 pages)</v>
      </c>
    </row>
    <row r="235" spans="1:8" ht="12.75">
      <c r="A235" t="s">
        <v>6</v>
      </c>
      <c r="B235" s="4" t="s">
        <v>935</v>
      </c>
      <c r="C235" t="s">
        <v>148</v>
      </c>
      <c r="D235" t="s">
        <v>21</v>
      </c>
      <c r="E235" t="s">
        <v>9</v>
      </c>
      <c r="F235" t="s">
        <v>10</v>
      </c>
      <c r="G235" t="s">
        <v>11</v>
      </c>
      <c r="H235" s="1" t="str">
        <f>HYPERLINK("http://apps.fcc.gov/ecfs/document/view?id=7520944101","  (2 pages)")</f>
        <v>  (2 pages)</v>
      </c>
    </row>
    <row r="236" spans="1:8" ht="12.75">
      <c r="A236" t="s">
        <v>6</v>
      </c>
      <c r="B236" s="4" t="s">
        <v>323</v>
      </c>
      <c r="D236" t="s">
        <v>21</v>
      </c>
      <c r="E236" t="s">
        <v>21</v>
      </c>
      <c r="F236" t="s">
        <v>10</v>
      </c>
      <c r="G236" t="s">
        <v>11</v>
      </c>
      <c r="H236" s="1" t="str">
        <f>HYPERLINK("http://apps.fcc.gov/ecfs/document/view?id=7520943796","  (2 pages)")</f>
        <v>  (2 pages)</v>
      </c>
    </row>
    <row r="237" spans="1:12" ht="12.75">
      <c r="A237" t="s">
        <v>6</v>
      </c>
      <c r="B237" s="4" t="s">
        <v>1074</v>
      </c>
      <c r="C237" t="s">
        <v>1073</v>
      </c>
      <c r="D237" t="s">
        <v>21</v>
      </c>
      <c r="E237" t="s">
        <v>1070</v>
      </c>
      <c r="F237" t="s">
        <v>10</v>
      </c>
      <c r="G237" t="s">
        <v>11</v>
      </c>
      <c r="H237" s="1" t="str">
        <f>HYPERLINK("http://apps.fcc.gov/ecfs/document/view?id=7520944421","  (2 pages)")</f>
        <v>  (2 pages)</v>
      </c>
      <c r="L237" s="12" t="str">
        <f>HYPERLINK("http://www.e-ratecentral.com/FCC/ERate20NPRMComments/pdf/FloridaVirtualSchool_NPRM_Comments_9-16-2013.pdf","Florida Virtual School (2 pages)")</f>
        <v>Florida Virtual School (2 pages)</v>
      </c>
    </row>
    <row r="238" spans="1:8" ht="12.75">
      <c r="A238" t="s">
        <v>6</v>
      </c>
      <c r="B238" s="4" t="s">
        <v>1040</v>
      </c>
      <c r="C238" t="s">
        <v>245</v>
      </c>
      <c r="D238" t="s">
        <v>21</v>
      </c>
      <c r="E238" t="s">
        <v>9</v>
      </c>
      <c r="F238" t="s">
        <v>10</v>
      </c>
      <c r="G238" t="s">
        <v>11</v>
      </c>
      <c r="H238" s="1" t="str">
        <f>HYPERLINK("http://apps.fcc.gov/ecfs/document/view?id=7520944103","  (2 pages)")</f>
        <v>  (2 pages)</v>
      </c>
    </row>
    <row r="239" spans="1:8" ht="12.75">
      <c r="A239" t="s">
        <v>6</v>
      </c>
      <c r="B239" s="4" t="s">
        <v>666</v>
      </c>
      <c r="D239" t="s">
        <v>652</v>
      </c>
      <c r="E239" t="s">
        <v>652</v>
      </c>
      <c r="F239" t="s">
        <v>10</v>
      </c>
      <c r="G239" t="s">
        <v>11</v>
      </c>
      <c r="H239" s="1" t="str">
        <f>HYPERLINK("http://apps.fcc.gov/ecfs/document/view?id=7520942800","  (2 pages)")</f>
        <v>  (2 pages)</v>
      </c>
    </row>
    <row r="240" spans="1:8" ht="12.75">
      <c r="A240" t="s">
        <v>6</v>
      </c>
      <c r="B240" s="4" t="s">
        <v>993</v>
      </c>
      <c r="C240" t="s">
        <v>709</v>
      </c>
      <c r="D240" t="s">
        <v>707</v>
      </c>
      <c r="E240" t="s">
        <v>701</v>
      </c>
      <c r="F240" t="s">
        <v>10</v>
      </c>
      <c r="G240" t="s">
        <v>11</v>
      </c>
      <c r="H240" s="1" t="str">
        <f>HYPERLINK("http://apps.fcc.gov/ecfs/document/view?id=7520941449","  (2 pages)")</f>
        <v>  (2 pages)</v>
      </c>
    </row>
    <row r="241" spans="1:8" ht="12.75">
      <c r="A241" t="s">
        <v>6</v>
      </c>
      <c r="B241" s="4" t="s">
        <v>661</v>
      </c>
      <c r="D241" t="s">
        <v>652</v>
      </c>
      <c r="E241" t="s">
        <v>652</v>
      </c>
      <c r="F241" t="s">
        <v>10</v>
      </c>
      <c r="G241" t="s">
        <v>11</v>
      </c>
      <c r="H241" s="1" t="str">
        <f>HYPERLINK("http://apps.fcc.gov/ecfs/document/view?id=7520942828","  (2 pages)")</f>
        <v>  (2 pages)</v>
      </c>
    </row>
    <row r="242" spans="1:8" ht="12.75">
      <c r="A242" t="s">
        <v>6</v>
      </c>
      <c r="B242" s="4" t="s">
        <v>922</v>
      </c>
      <c r="C242" t="s">
        <v>724</v>
      </c>
      <c r="D242" t="s">
        <v>717</v>
      </c>
      <c r="E242" t="s">
        <v>717</v>
      </c>
      <c r="F242" t="s">
        <v>10</v>
      </c>
      <c r="G242" t="s">
        <v>11</v>
      </c>
      <c r="H242" s="1" t="str">
        <f>HYPERLINK("http://apps.fcc.gov/ecfs/document/view?id=7520940451","Erate Program Changes (2 pages)")</f>
        <v>Erate Program Changes (2 pages)</v>
      </c>
    </row>
    <row r="243" spans="1:8" ht="12.75">
      <c r="A243" t="s">
        <v>6</v>
      </c>
      <c r="B243" s="4" t="s">
        <v>1121</v>
      </c>
      <c r="D243" t="s">
        <v>598</v>
      </c>
      <c r="E243" t="s">
        <v>1109</v>
      </c>
      <c r="F243" t="s">
        <v>10</v>
      </c>
      <c r="G243" t="s">
        <v>11</v>
      </c>
      <c r="H243" s="1" t="str">
        <f>HYPERLINK("http://apps.fcc.gov/ecfs/document/view?id=7520944653","  (2 pages)")</f>
        <v>  (2 pages)</v>
      </c>
    </row>
    <row r="244" spans="1:12" ht="12.75">
      <c r="A244" t="s">
        <v>6</v>
      </c>
      <c r="B244" s="4" t="s">
        <v>835</v>
      </c>
      <c r="C244" t="s">
        <v>1049</v>
      </c>
      <c r="D244" t="s">
        <v>685</v>
      </c>
      <c r="E244" t="s">
        <v>673</v>
      </c>
      <c r="F244" t="s">
        <v>10</v>
      </c>
      <c r="G244" t="s">
        <v>11</v>
      </c>
      <c r="H244" s="1" t="str">
        <f>HYPERLINK("http://apps.fcc.gov/ecfs/document/view?id=7520942464","  (2 pages)")</f>
        <v>  (2 pages)</v>
      </c>
      <c r="I244" s="1" t="str">
        <f>HYPERLINK("http://apps.fcc.gov/ecfs/document/view?id=7520942528","  (2 pages)")</f>
        <v>  (2 pages)</v>
      </c>
      <c r="L244" s="12" t="str">
        <f>HYPERLINK("http://www.e-ratecentral.com/FCC/ERate20NPRMComments/pdf/GreatFallsMO_NPRM_Comments_9-16-2013.pdf","Great Falls Public Schools (2 pages)")</f>
        <v>Great Falls Public Schools (2 pages)</v>
      </c>
    </row>
    <row r="245" spans="1:8" ht="12.75">
      <c r="A245" t="s">
        <v>6</v>
      </c>
      <c r="B245" s="4" t="s">
        <v>867</v>
      </c>
      <c r="C245" t="s">
        <v>634</v>
      </c>
      <c r="D245" t="s">
        <v>598</v>
      </c>
      <c r="E245" t="s">
        <v>598</v>
      </c>
      <c r="F245" t="s">
        <v>10</v>
      </c>
      <c r="G245" t="s">
        <v>11</v>
      </c>
      <c r="H245" s="1" t="str">
        <f>HYPERLINK("http://apps.fcc.gov/ecfs/document/view?id=7520942909","Haines Borough School District ERate NPRM Comments (2 pages)")</f>
        <v>Haines Borough School District ERate NPRM Comments (2 pages)</v>
      </c>
    </row>
    <row r="246" spans="1:9" ht="12.75">
      <c r="A246" t="s">
        <v>6</v>
      </c>
      <c r="B246" s="4" t="s">
        <v>321</v>
      </c>
      <c r="D246" t="s">
        <v>21</v>
      </c>
      <c r="E246" t="s">
        <v>21</v>
      </c>
      <c r="F246" t="s">
        <v>10</v>
      </c>
      <c r="G246" t="s">
        <v>11</v>
      </c>
      <c r="H246" s="1" t="str">
        <f>HYPERLINK("http://apps.fcc.gov/ecfs/document/view?id=7520943753","  (2 pages)")</f>
        <v>  (2 pages)</v>
      </c>
      <c r="I246" s="1"/>
    </row>
    <row r="247" spans="1:8" ht="12.75">
      <c r="A247" t="s">
        <v>6</v>
      </c>
      <c r="B247" s="4" t="s">
        <v>872</v>
      </c>
      <c r="C247" t="s">
        <v>700</v>
      </c>
      <c r="D247" t="s">
        <v>701</v>
      </c>
      <c r="E247" t="s">
        <v>685</v>
      </c>
      <c r="F247" t="s">
        <v>10</v>
      </c>
      <c r="G247" t="s">
        <v>11</v>
      </c>
      <c r="H247" s="1" t="str">
        <f>HYPERLINK("http://apps.fcc.gov/ecfs/document/view?id=7520942145","  (2 pages)")</f>
        <v>  (2 pages)</v>
      </c>
    </row>
    <row r="248" spans="1:8" ht="12.75">
      <c r="A248" t="s">
        <v>6</v>
      </c>
      <c r="B248" s="4" t="s">
        <v>166</v>
      </c>
      <c r="D248" t="s">
        <v>21</v>
      </c>
      <c r="E248" t="s">
        <v>9</v>
      </c>
      <c r="F248" t="s">
        <v>10</v>
      </c>
      <c r="G248" t="s">
        <v>11</v>
      </c>
      <c r="H248" s="1" t="str">
        <f>HYPERLINK("http://apps.fcc.gov/ecfs/document/view?id=7520944064","  (2 pages)")</f>
        <v>  (2 pages)</v>
      </c>
    </row>
    <row r="249" spans="1:8" ht="12.75">
      <c r="A249" t="s">
        <v>6</v>
      </c>
      <c r="B249" s="4" t="s">
        <v>829</v>
      </c>
      <c r="C249" t="s">
        <v>588</v>
      </c>
      <c r="D249" t="s">
        <v>524</v>
      </c>
      <c r="E249" t="s">
        <v>524</v>
      </c>
      <c r="F249" t="s">
        <v>10</v>
      </c>
      <c r="G249" t="s">
        <v>11</v>
      </c>
      <c r="H249" s="1" t="str">
        <f>HYPERLINK("http://apps.fcc.gov/ecfs/document/view?id=7520943033","  (2 pages)")</f>
        <v>  (2 pages)</v>
      </c>
    </row>
    <row r="250" spans="1:8" ht="12.75">
      <c r="A250" t="s">
        <v>6</v>
      </c>
      <c r="B250" s="4" t="s">
        <v>1050</v>
      </c>
      <c r="C250" t="s">
        <v>181</v>
      </c>
      <c r="D250" t="s">
        <v>21</v>
      </c>
      <c r="E250" t="s">
        <v>9</v>
      </c>
      <c r="F250" t="s">
        <v>10</v>
      </c>
      <c r="G250" t="s">
        <v>11</v>
      </c>
      <c r="H250" s="1" t="str">
        <f>HYPERLINK("http://apps.fcc.gov/ecfs/document/view?id=7520944110","  (2 pages)")</f>
        <v>  (2 pages)</v>
      </c>
    </row>
    <row r="251" spans="1:8" ht="12.75">
      <c r="A251" t="s">
        <v>6</v>
      </c>
      <c r="B251" s="4" t="s">
        <v>744</v>
      </c>
      <c r="D251" t="s">
        <v>738</v>
      </c>
      <c r="E251" t="s">
        <v>738</v>
      </c>
      <c r="F251" t="s">
        <v>10</v>
      </c>
      <c r="G251" t="s">
        <v>11</v>
      </c>
      <c r="H251" s="1" t="str">
        <f>HYPERLINK("http://apps.fcc.gov/ecfs/document/view?id=7520940206","  (2 pages)")</f>
        <v>  (2 pages)</v>
      </c>
    </row>
    <row r="252" spans="1:8" ht="12.75">
      <c r="A252" t="s">
        <v>6</v>
      </c>
      <c r="B252" s="4" t="s">
        <v>1015</v>
      </c>
      <c r="C252" t="s">
        <v>205</v>
      </c>
      <c r="D252" t="s">
        <v>9</v>
      </c>
      <c r="E252" t="s">
        <v>9</v>
      </c>
      <c r="F252" t="s">
        <v>10</v>
      </c>
      <c r="G252" t="s">
        <v>11</v>
      </c>
      <c r="H252" s="1" t="str">
        <f>HYPERLINK("http://apps.fcc.gov/ecfs/document/view?id=7520944222","  (2 pages)")</f>
        <v>  (2 pages)</v>
      </c>
    </row>
    <row r="253" spans="1:8" ht="12.75">
      <c r="A253" t="s">
        <v>6</v>
      </c>
      <c r="B253" s="4" t="s">
        <v>933</v>
      </c>
      <c r="C253" t="s">
        <v>147</v>
      </c>
      <c r="D253" t="s">
        <v>21</v>
      </c>
      <c r="E253" t="s">
        <v>9</v>
      </c>
      <c r="F253" t="s">
        <v>10</v>
      </c>
      <c r="G253" t="s">
        <v>11</v>
      </c>
      <c r="H253" s="1" t="str">
        <f>HYPERLINK("http://apps.fcc.gov/ecfs/document/view?id=7520943908","  (2 pages)")</f>
        <v>  (2 pages)</v>
      </c>
    </row>
    <row r="254" spans="1:8" ht="12.75">
      <c r="A254" t="s">
        <v>6</v>
      </c>
      <c r="B254" s="4" t="s">
        <v>1033</v>
      </c>
      <c r="C254" t="s">
        <v>239</v>
      </c>
      <c r="D254" t="s">
        <v>9</v>
      </c>
      <c r="E254" t="s">
        <v>9</v>
      </c>
      <c r="F254" t="s">
        <v>10</v>
      </c>
      <c r="G254" t="s">
        <v>11</v>
      </c>
      <c r="H254" s="1" t="str">
        <f>HYPERLINK("http://apps.fcc.gov/ecfs/document/view?id=7520944241","  (2 pages)")</f>
        <v>  (2 pages)</v>
      </c>
    </row>
    <row r="255" spans="1:8" ht="12.75">
      <c r="A255" t="s">
        <v>6</v>
      </c>
      <c r="B255" s="4" t="s">
        <v>849</v>
      </c>
      <c r="C255" t="s">
        <v>64</v>
      </c>
      <c r="D255" t="s">
        <v>21</v>
      </c>
      <c r="E255" t="s">
        <v>9</v>
      </c>
      <c r="F255" t="s">
        <v>10</v>
      </c>
      <c r="G255" t="s">
        <v>11</v>
      </c>
      <c r="H255" s="1" t="str">
        <f>HYPERLINK("http://apps.fcc.gov/ecfs/document/view?id=7520943963","Comment on Proceeding No 13 184 (2 pages)")</f>
        <v>Comment on Proceeding No 13 184 (2 pages)</v>
      </c>
    </row>
    <row r="256" spans="1:8" ht="12.75">
      <c r="A256" t="s">
        <v>6</v>
      </c>
      <c r="B256" s="4" t="s">
        <v>1042</v>
      </c>
      <c r="C256" t="s">
        <v>249</v>
      </c>
      <c r="D256" t="s">
        <v>21</v>
      </c>
      <c r="E256" t="s">
        <v>9</v>
      </c>
      <c r="F256" t="s">
        <v>10</v>
      </c>
      <c r="G256" t="s">
        <v>11</v>
      </c>
      <c r="H256" s="1" t="str">
        <f>HYPERLINK("http://apps.fcc.gov/ecfs/document/view?id=7520943881","  (2 pages)")</f>
        <v>  (2 pages)</v>
      </c>
    </row>
    <row r="257" spans="1:8" ht="12.75">
      <c r="A257" t="s">
        <v>6</v>
      </c>
      <c r="B257" s="4" t="s">
        <v>984</v>
      </c>
      <c r="C257" t="s">
        <v>547</v>
      </c>
      <c r="D257" t="s">
        <v>524</v>
      </c>
      <c r="E257" t="s">
        <v>333</v>
      </c>
      <c r="F257" t="s">
        <v>10</v>
      </c>
      <c r="G257" t="s">
        <v>11</v>
      </c>
      <c r="H257" s="1" t="str">
        <f>HYPERLINK("http://apps.fcc.gov/ecfs/document/view?id=7520943183","  (2 pages)")</f>
        <v>  (2 pages)</v>
      </c>
    </row>
    <row r="258" spans="1:8" ht="12.75">
      <c r="A258" t="s">
        <v>6</v>
      </c>
      <c r="B258" s="4" t="s">
        <v>1052</v>
      </c>
      <c r="C258" t="s">
        <v>161</v>
      </c>
      <c r="D258" t="s">
        <v>21</v>
      </c>
      <c r="E258" t="s">
        <v>9</v>
      </c>
      <c r="F258" t="s">
        <v>10</v>
      </c>
      <c r="G258" t="s">
        <v>11</v>
      </c>
      <c r="H258" s="1" t="str">
        <f>HYPERLINK("http://apps.fcc.gov/ecfs/document/view?id=7520944112","  (2 pages)")</f>
        <v>  (2 pages)</v>
      </c>
    </row>
    <row r="259" spans="1:8" ht="12.75">
      <c r="A259" t="s">
        <v>6</v>
      </c>
      <c r="B259" s="4" t="s">
        <v>1053</v>
      </c>
      <c r="C259" t="s">
        <v>221</v>
      </c>
      <c r="D259" t="s">
        <v>21</v>
      </c>
      <c r="E259" t="s">
        <v>9</v>
      </c>
      <c r="F259" t="s">
        <v>10</v>
      </c>
      <c r="G259" t="s">
        <v>11</v>
      </c>
      <c r="H259" s="1" t="str">
        <f>HYPERLINK("http://apps.fcc.gov/ecfs/document/view?id=7520944076","  (2 pages)")</f>
        <v>  (2 pages)</v>
      </c>
    </row>
    <row r="260" spans="1:8" ht="12.75">
      <c r="A260" t="s">
        <v>6</v>
      </c>
      <c r="B260" s="4" t="s">
        <v>1096</v>
      </c>
      <c r="C260" t="s">
        <v>1084</v>
      </c>
      <c r="D260" t="s">
        <v>9</v>
      </c>
      <c r="E260" t="s">
        <v>1070</v>
      </c>
      <c r="F260" t="s">
        <v>10</v>
      </c>
      <c r="G260" t="s">
        <v>11</v>
      </c>
      <c r="H260" s="1" t="str">
        <f>HYPERLINK("http://apps.fcc.gov/ecfs/document/view?id=7520944329","  (2 pages)")</f>
        <v>  (2 pages)</v>
      </c>
    </row>
    <row r="261" spans="1:8" ht="12.75">
      <c r="A261" t="s">
        <v>6</v>
      </c>
      <c r="B261" s="4" t="s">
        <v>736</v>
      </c>
      <c r="D261" t="s">
        <v>728</v>
      </c>
      <c r="E261" t="s">
        <v>728</v>
      </c>
      <c r="F261" t="s">
        <v>10</v>
      </c>
      <c r="G261" t="s">
        <v>11</v>
      </c>
      <c r="H261" s="1" t="str">
        <f>HYPERLINK("http://apps.fcc.gov/ecfs/document/view?id=7520940297","  (2 pages)")</f>
        <v>  (2 pages)</v>
      </c>
    </row>
    <row r="262" spans="1:8" ht="12.75">
      <c r="A262" t="s">
        <v>6</v>
      </c>
      <c r="B262" s="4" t="s">
        <v>1011</v>
      </c>
      <c r="C262" t="s">
        <v>376</v>
      </c>
      <c r="D262" t="s">
        <v>333</v>
      </c>
      <c r="E262" t="s">
        <v>21</v>
      </c>
      <c r="F262" t="s">
        <v>10</v>
      </c>
      <c r="G262" t="s">
        <v>11</v>
      </c>
      <c r="H262" s="1" t="str">
        <f>HYPERLINK("http://apps.fcc.gov/ecfs/document/view?id=7520943466"," (2 pages)")</f>
        <v> (2 pages)</v>
      </c>
    </row>
    <row r="263" spans="1:8" ht="12.75">
      <c r="A263" t="s">
        <v>6</v>
      </c>
      <c r="B263" s="4" t="s">
        <v>1054</v>
      </c>
      <c r="C263" t="s">
        <v>714</v>
      </c>
      <c r="D263" t="s">
        <v>707</v>
      </c>
      <c r="E263" t="s">
        <v>707</v>
      </c>
      <c r="F263" t="s">
        <v>10</v>
      </c>
      <c r="G263" t="s">
        <v>11</v>
      </c>
      <c r="H263" s="1" t="str">
        <f>HYPERLINK("http://apps.fcc.gov/ecfs/document/view?id=7520941333","  (2 pages)")</f>
        <v>  (2 pages)</v>
      </c>
    </row>
    <row r="264" spans="1:8" ht="12.75">
      <c r="A264" t="s">
        <v>6</v>
      </c>
      <c r="B264" s="8" t="s">
        <v>946</v>
      </c>
      <c r="C264" t="s">
        <v>158</v>
      </c>
      <c r="D264" t="s">
        <v>21</v>
      </c>
      <c r="E264" t="s">
        <v>9</v>
      </c>
      <c r="F264" t="s">
        <v>10</v>
      </c>
      <c r="G264" t="s">
        <v>11</v>
      </c>
      <c r="H264" s="1" t="str">
        <f>HYPERLINK("http://apps.fcc.gov/ecfs/document/view?id=7520944117","  (2 pages)")</f>
        <v>  (2 pages)</v>
      </c>
    </row>
    <row r="265" spans="1:8" ht="12.75">
      <c r="A265" t="s">
        <v>6</v>
      </c>
      <c r="B265" s="4" t="s">
        <v>1016</v>
      </c>
      <c r="C265" t="s">
        <v>377</v>
      </c>
      <c r="D265" t="s">
        <v>333</v>
      </c>
      <c r="E265" t="s">
        <v>21</v>
      </c>
      <c r="F265" t="s">
        <v>10</v>
      </c>
      <c r="G265" t="s">
        <v>11</v>
      </c>
      <c r="H265" s="1" t="str">
        <f>HYPERLINK("http://apps.fcc.gov/ecfs/document/view?id=7520943451","  (2 pages)")</f>
        <v>  (2 pages)</v>
      </c>
    </row>
    <row r="266" spans="1:8" ht="12.75">
      <c r="A266" t="s">
        <v>6</v>
      </c>
      <c r="B266" s="4" t="s">
        <v>856</v>
      </c>
      <c r="C266" t="s">
        <v>409</v>
      </c>
      <c r="D266" t="s">
        <v>333</v>
      </c>
      <c r="E266" t="s">
        <v>333</v>
      </c>
      <c r="F266" t="s">
        <v>10</v>
      </c>
      <c r="G266" t="s">
        <v>11</v>
      </c>
      <c r="H266" s="1" t="str">
        <f>HYPERLINK("http://apps.fcc.gov/ecfs/document/view?id=7520943432","  (2 pages)")</f>
        <v>  (2 pages)</v>
      </c>
    </row>
    <row r="267" spans="1:8" ht="12.75">
      <c r="A267" t="s">
        <v>6</v>
      </c>
      <c r="B267" s="4" t="s">
        <v>962</v>
      </c>
      <c r="C267" t="s">
        <v>619</v>
      </c>
      <c r="D267" t="s">
        <v>598</v>
      </c>
      <c r="E267" t="s">
        <v>524</v>
      </c>
      <c r="F267" t="s">
        <v>10</v>
      </c>
      <c r="G267" t="s">
        <v>11</v>
      </c>
      <c r="H267" s="1" t="str">
        <f>HYPERLINK("http://apps.fcc.gov/ecfs/document/view?id=7520942962","Response to FCC NPRM (2 pages)")</f>
        <v>Response to FCC NPRM (2 pages)</v>
      </c>
    </row>
    <row r="268" spans="1:12" ht="12.75">
      <c r="A268" t="s">
        <v>6</v>
      </c>
      <c r="B268" s="4" t="s">
        <v>965</v>
      </c>
      <c r="C268" t="s">
        <v>171</v>
      </c>
      <c r="D268" t="s">
        <v>21</v>
      </c>
      <c r="E268" t="s">
        <v>9</v>
      </c>
      <c r="F268" t="s">
        <v>10</v>
      </c>
      <c r="G268" t="s">
        <v>11</v>
      </c>
      <c r="H268" s="1" t="str">
        <f>HYPERLINK("http://apps.fcc.gov/ecfs/document/view?id=7520944098","Merced River (2 pages)")</f>
        <v>Merced River (2 pages)</v>
      </c>
      <c r="L268" s="12" t="str">
        <f>HYPERLINK("http://www.e-ratecentral.com/FCC/ERate20NPRMComments/pdf/Merced_comments_9162013.pdf","Merced River School District (2 pages)")</f>
        <v>Merced River School District (2 pages)</v>
      </c>
    </row>
    <row r="269" spans="1:8" ht="12.75">
      <c r="A269" t="s">
        <v>6</v>
      </c>
      <c r="B269" s="4" t="s">
        <v>1124</v>
      </c>
      <c r="D269" t="s">
        <v>598</v>
      </c>
      <c r="E269" t="s">
        <v>1109</v>
      </c>
      <c r="F269" t="s">
        <v>10</v>
      </c>
      <c r="G269" t="s">
        <v>11</v>
      </c>
      <c r="H269" s="1" t="str">
        <f>HYPERLINK("http://apps.fcc.gov/ecfs/document/view?id=7520944601","  (2 pages)")</f>
        <v>  (2 pages)</v>
      </c>
    </row>
    <row r="270" spans="1:8" ht="12.75">
      <c r="A270" t="s">
        <v>6</v>
      </c>
      <c r="B270" s="4" t="s">
        <v>1122</v>
      </c>
      <c r="D270" t="s">
        <v>598</v>
      </c>
      <c r="E270" t="s">
        <v>1109</v>
      </c>
      <c r="F270" t="s">
        <v>10</v>
      </c>
      <c r="G270" t="s">
        <v>11</v>
      </c>
      <c r="H270" s="1" t="str">
        <f>HYPERLINK("http://apps.fcc.gov/ecfs/document/view?id=7520944652","  (2 pages)")</f>
        <v>  (2 pages)</v>
      </c>
    </row>
    <row r="271" spans="1:9" ht="12.75">
      <c r="A271" t="s">
        <v>6</v>
      </c>
      <c r="B271" s="4" t="s">
        <v>874</v>
      </c>
      <c r="C271" t="s">
        <v>93</v>
      </c>
      <c r="D271" t="s">
        <v>524</v>
      </c>
      <c r="E271" t="s">
        <v>524</v>
      </c>
      <c r="F271" t="s">
        <v>10</v>
      </c>
      <c r="G271" t="s">
        <v>11</v>
      </c>
      <c r="H271" s="1" t="str">
        <f>HYPERLINK("http://apps.fcc.gov/ecfs/document/view?id=7520943023","FCC Comment from Monroe County (2 pages)")</f>
        <v>FCC Comment from Monroe County (2 pages)</v>
      </c>
      <c r="I271" s="1" t="str">
        <f>HYPERLINK("http://apps.fcc.gov/ecfs/document/view?id=7520944116","  (1 page)")</f>
        <v>  (1 page)</v>
      </c>
    </row>
    <row r="272" spans="1:12" ht="12.75">
      <c r="A272" t="s">
        <v>6</v>
      </c>
      <c r="B272" s="4" t="s">
        <v>1077</v>
      </c>
      <c r="C272" t="s">
        <v>1076</v>
      </c>
      <c r="D272" t="s">
        <v>21</v>
      </c>
      <c r="E272" t="s">
        <v>1070</v>
      </c>
      <c r="F272" t="s">
        <v>10</v>
      </c>
      <c r="G272" t="s">
        <v>11</v>
      </c>
      <c r="H272" s="1" t="str">
        <f>HYPERLINK("http://apps.fcc.gov/ecfs/document/view?id=7520944408","  (2 pages)")</f>
        <v>  (2 pages)</v>
      </c>
      <c r="L272" s="12" t="str">
        <f>HYPERLINK("http://www.e-ratecentral.com/FCC/ERate20NPRMComments/pdf/NAACP_NPRM_Comments_9-16-2013.pdf","NAACP (2 pages)")</f>
        <v>NAACP (2 pages)</v>
      </c>
    </row>
    <row r="273" spans="1:8" ht="12.75">
      <c r="A273" t="s">
        <v>6</v>
      </c>
      <c r="B273" s="4" t="s">
        <v>808</v>
      </c>
      <c r="C273" t="s">
        <v>154</v>
      </c>
      <c r="D273" t="s">
        <v>21</v>
      </c>
      <c r="E273" t="s">
        <v>9</v>
      </c>
      <c r="F273" t="s">
        <v>10</v>
      </c>
      <c r="G273" t="s">
        <v>11</v>
      </c>
      <c r="H273" s="1" t="str">
        <f>HYPERLINK("http://apps.fcc.gov/ecfs/document/view?id=7520943959","  (2 pages)")</f>
        <v>  (2 pages)</v>
      </c>
    </row>
    <row r="274" spans="1:8" ht="12.75">
      <c r="A274" t="s">
        <v>6</v>
      </c>
      <c r="B274" s="4" t="s">
        <v>1043</v>
      </c>
      <c r="C274" t="s">
        <v>309</v>
      </c>
      <c r="D274" t="s">
        <v>21</v>
      </c>
      <c r="E274" t="s">
        <v>21</v>
      </c>
      <c r="F274" t="s">
        <v>10</v>
      </c>
      <c r="G274" t="s">
        <v>11</v>
      </c>
      <c r="H274" s="1" t="str">
        <f>HYPERLINK("http://apps.fcc.gov/ecfs/document/view?id=7520943806","NE Colorado NPRM Response in support of its member districts (2 pages)")</f>
        <v>NE Colorado NPRM Response in support of its member districts (2 pages)</v>
      </c>
    </row>
    <row r="275" spans="1:8" ht="12.75">
      <c r="A275" t="s">
        <v>6</v>
      </c>
      <c r="B275" s="4" t="s">
        <v>852</v>
      </c>
      <c r="C275" t="s">
        <v>710</v>
      </c>
      <c r="D275" t="s">
        <v>707</v>
      </c>
      <c r="E275" t="s">
        <v>707</v>
      </c>
      <c r="F275" t="s">
        <v>10</v>
      </c>
      <c r="G275" t="s">
        <v>11</v>
      </c>
      <c r="H275" s="1" t="str">
        <f>HYPERLINK("http://apps.fcc.gov/ecfs/document/view?id=7520941387","  (2 pages)")</f>
        <v>  (2 pages)</v>
      </c>
    </row>
    <row r="276" spans="1:8" ht="12.75">
      <c r="A276" t="s">
        <v>6</v>
      </c>
      <c r="B276" s="4" t="s">
        <v>888</v>
      </c>
      <c r="C276" t="s">
        <v>119</v>
      </c>
      <c r="D276" t="s">
        <v>21</v>
      </c>
      <c r="E276" t="s">
        <v>9</v>
      </c>
      <c r="F276" t="s">
        <v>10</v>
      </c>
      <c r="G276" t="s">
        <v>11</v>
      </c>
      <c r="H276" s="1" t="str">
        <f>HYPERLINK("http://apps.fcc.gov/ecfs/document/view?id=7520944037","  (2 pages)")</f>
        <v>  (2 pages)</v>
      </c>
    </row>
    <row r="277" spans="1:8" ht="12.75">
      <c r="A277" t="s">
        <v>6</v>
      </c>
      <c r="B277" s="4" t="s">
        <v>97</v>
      </c>
      <c r="D277" t="s">
        <v>21</v>
      </c>
      <c r="E277" t="s">
        <v>9</v>
      </c>
      <c r="F277" t="s">
        <v>10</v>
      </c>
      <c r="G277" t="s">
        <v>11</v>
      </c>
      <c r="H277" s="1" t="str">
        <f>HYPERLINK("http://apps.fcc.gov/ecfs/document/view?id=7520943982","  (2 pages)")</f>
        <v>  (2 pages)</v>
      </c>
    </row>
    <row r="278" spans="1:8" ht="12.75">
      <c r="A278" t="s">
        <v>6</v>
      </c>
      <c r="B278" s="4" t="s">
        <v>422</v>
      </c>
      <c r="D278" t="s">
        <v>333</v>
      </c>
      <c r="E278" t="s">
        <v>333</v>
      </c>
      <c r="F278" t="s">
        <v>10</v>
      </c>
      <c r="G278" t="s">
        <v>11</v>
      </c>
      <c r="H278" s="1" t="str">
        <f>HYPERLINK("http://apps.fcc.gov/ecfs/document/view?id=7520943356"," (2 pages)")</f>
        <v> (2 pages)</v>
      </c>
    </row>
    <row r="279" spans="1:8" ht="12.75">
      <c r="A279" t="s">
        <v>6</v>
      </c>
      <c r="B279" s="4" t="s">
        <v>726</v>
      </c>
      <c r="D279" t="s">
        <v>728</v>
      </c>
      <c r="E279" t="s">
        <v>717</v>
      </c>
      <c r="F279" t="s">
        <v>10</v>
      </c>
      <c r="G279" t="s">
        <v>11</v>
      </c>
      <c r="H279" s="1" t="str">
        <f>HYPERLINK("http://apps.fcc.gov/ecfs/document/view?id=7520940400","  (2 pages)")</f>
        <v>  (2 pages)</v>
      </c>
    </row>
    <row r="280" spans="1:8" ht="12.75">
      <c r="A280" t="s">
        <v>6</v>
      </c>
      <c r="B280" s="4" t="s">
        <v>910</v>
      </c>
      <c r="C280" t="s">
        <v>134</v>
      </c>
      <c r="D280" t="s">
        <v>9</v>
      </c>
      <c r="E280" t="s">
        <v>9</v>
      </c>
      <c r="F280" t="s">
        <v>10</v>
      </c>
      <c r="G280" t="s">
        <v>11</v>
      </c>
      <c r="H280" s="1" t="str">
        <f>HYPERLINK("http://apps.fcc.gov/ecfs/document/view?id=7520944160","  (2 pages)")</f>
        <v>  (2 pages)</v>
      </c>
    </row>
    <row r="281" spans="1:8" ht="12.75">
      <c r="A281" t="s">
        <v>6</v>
      </c>
      <c r="B281" s="4" t="s">
        <v>350</v>
      </c>
      <c r="D281" t="s">
        <v>21</v>
      </c>
      <c r="E281" t="s">
        <v>21</v>
      </c>
      <c r="F281" t="s">
        <v>10</v>
      </c>
      <c r="G281" t="s">
        <v>11</v>
      </c>
      <c r="H281" s="1" t="str">
        <f>HYPERLINK("http://apps.fcc.gov/ecfs/document/view?id=7520943685","Comments from the Office of Educational Technology at the New Hampshire Departme (2 pages)")</f>
        <v>Comments from the Office of Educational Technology at the New Hampshire Departme (2 pages)</v>
      </c>
    </row>
    <row r="282" spans="1:8" ht="12.75">
      <c r="A282" t="s">
        <v>6</v>
      </c>
      <c r="B282" s="4" t="s">
        <v>1056</v>
      </c>
      <c r="C282" t="s">
        <v>242</v>
      </c>
      <c r="D282" t="s">
        <v>21</v>
      </c>
      <c r="E282" t="s">
        <v>9</v>
      </c>
      <c r="F282" t="s">
        <v>10</v>
      </c>
      <c r="G282" t="s">
        <v>11</v>
      </c>
      <c r="H282" s="1" t="str">
        <f>HYPERLINK("http://apps.fcc.gov/ecfs/document/view?id=7520944128","  (2 pages)")</f>
        <v>  (2 pages)</v>
      </c>
    </row>
    <row r="283" spans="1:8" ht="12.75">
      <c r="A283" t="s">
        <v>6</v>
      </c>
      <c r="B283" s="4" t="s">
        <v>1094</v>
      </c>
      <c r="C283" t="s">
        <v>1088</v>
      </c>
      <c r="D283" t="s">
        <v>9</v>
      </c>
      <c r="E283" t="s">
        <v>1070</v>
      </c>
      <c r="F283" t="s">
        <v>10</v>
      </c>
      <c r="G283" t="s">
        <v>11</v>
      </c>
      <c r="H283" s="1" t="str">
        <f>HYPERLINK("http://apps.fcc.gov/ecfs/document/view?id=7520944348","  (2 pages)")</f>
        <v>  (2 pages)</v>
      </c>
    </row>
    <row r="284" spans="1:8" ht="12.75">
      <c r="A284" t="s">
        <v>6</v>
      </c>
      <c r="B284" s="4" t="s">
        <v>296</v>
      </c>
      <c r="D284" t="s">
        <v>21</v>
      </c>
      <c r="E284" t="s">
        <v>21</v>
      </c>
      <c r="F284" t="s">
        <v>10</v>
      </c>
      <c r="G284" t="s">
        <v>11</v>
      </c>
      <c r="H284" s="1" t="str">
        <f>HYPERLINK("http://apps.fcc.gov/ecfs/document/view?id=7520943803","  (2 pages)")</f>
        <v>  (2 pages)</v>
      </c>
    </row>
    <row r="285" spans="1:9" ht="12.75">
      <c r="A285" t="s">
        <v>6</v>
      </c>
      <c r="B285" s="4" t="s">
        <v>814</v>
      </c>
      <c r="D285" t="s">
        <v>707</v>
      </c>
      <c r="E285" t="s">
        <v>701</v>
      </c>
      <c r="F285" t="s">
        <v>10</v>
      </c>
      <c r="G285" t="s">
        <v>11</v>
      </c>
      <c r="H285" s="1" t="str">
        <f>HYPERLINK("http://apps.fcc.gov/ecfs/document/view?id=7520941568","  (2 pages)")</f>
        <v>  (2 pages)</v>
      </c>
      <c r="I285" s="1"/>
    </row>
    <row r="286" spans="1:8" ht="12.75">
      <c r="A286" t="s">
        <v>6</v>
      </c>
      <c r="B286" s="4" t="s">
        <v>506</v>
      </c>
      <c r="D286" t="s">
        <v>333</v>
      </c>
      <c r="E286" t="s">
        <v>333</v>
      </c>
      <c r="F286" t="s">
        <v>10</v>
      </c>
      <c r="G286" t="s">
        <v>11</v>
      </c>
      <c r="H286" s="1" t="str">
        <f>HYPERLINK("http://apps.fcc.gov/ecfs/document/view?id=7520943268","E Rate Comments (2 pages)")</f>
        <v>E Rate Comments (2 pages)</v>
      </c>
    </row>
    <row r="287" spans="1:8" ht="12.75">
      <c r="A287" t="s">
        <v>6</v>
      </c>
      <c r="B287" s="4" t="s">
        <v>943</v>
      </c>
      <c r="C287" t="s">
        <v>729</v>
      </c>
      <c r="D287" t="s">
        <v>717</v>
      </c>
      <c r="E287" t="s">
        <v>717</v>
      </c>
      <c r="F287" t="s">
        <v>10</v>
      </c>
      <c r="G287" t="s">
        <v>11</v>
      </c>
      <c r="H287" s="1" t="str">
        <f>HYPERLINK("http://apps.fcc.gov/ecfs/document/view?id=7520940441","NPRM E Rate (2 pages)")</f>
        <v>NPRM E Rate (2 pages)</v>
      </c>
    </row>
    <row r="288" spans="1:8" ht="12.75">
      <c r="A288" t="s">
        <v>6</v>
      </c>
      <c r="B288" s="4" t="s">
        <v>957</v>
      </c>
      <c r="C288" t="s">
        <v>708</v>
      </c>
      <c r="D288" t="s">
        <v>707</v>
      </c>
      <c r="E288" t="s">
        <v>701</v>
      </c>
      <c r="F288" t="s">
        <v>10</v>
      </c>
      <c r="G288" t="s">
        <v>11</v>
      </c>
      <c r="H288" s="1" t="str">
        <f>HYPERLINK("http://apps.fcc.gov/ecfs/document/view?id=7520941677","  (2 pages)")</f>
        <v>  (2 pages)</v>
      </c>
    </row>
    <row r="289" spans="1:8" ht="12.75">
      <c r="A289" t="s">
        <v>6</v>
      </c>
      <c r="B289" s="4" t="s">
        <v>930</v>
      </c>
      <c r="C289" t="s">
        <v>749</v>
      </c>
      <c r="D289" t="s">
        <v>750</v>
      </c>
      <c r="E289" t="s">
        <v>738</v>
      </c>
      <c r="F289" t="s">
        <v>10</v>
      </c>
      <c r="G289" t="s">
        <v>11</v>
      </c>
      <c r="H289" s="1" t="str">
        <f>HYPERLINK("http://apps.fcc.gov/ecfs/document/view?id=7520940107"," (2 pages)")</f>
        <v> (2 pages)</v>
      </c>
    </row>
    <row r="290" spans="1:8" ht="12.75">
      <c r="A290" t="s">
        <v>6</v>
      </c>
      <c r="B290" s="4" t="s">
        <v>970</v>
      </c>
      <c r="C290" t="s">
        <v>464</v>
      </c>
      <c r="D290" t="s">
        <v>333</v>
      </c>
      <c r="E290" t="s">
        <v>333</v>
      </c>
      <c r="F290" t="s">
        <v>10</v>
      </c>
      <c r="G290" t="s">
        <v>11</v>
      </c>
      <c r="H290" s="1" t="str">
        <f>HYPERLINK("http://apps.fcc.gov/ecfs/document/view?id=7520943337","  (2 pages)")</f>
        <v>  (2 pages)</v>
      </c>
    </row>
    <row r="291" spans="1:8" ht="12.75">
      <c r="A291" t="s">
        <v>6</v>
      </c>
      <c r="B291" s="4" t="s">
        <v>564</v>
      </c>
      <c r="D291" t="s">
        <v>524</v>
      </c>
      <c r="E291" t="s">
        <v>524</v>
      </c>
      <c r="F291" t="s">
        <v>10</v>
      </c>
      <c r="G291" t="s">
        <v>11</v>
      </c>
      <c r="H291" s="1" t="str">
        <f>HYPERLINK("http://apps.fcc.gov/ecfs/document/view?id=7520943100","  (2 pages)")</f>
        <v>  (2 pages)</v>
      </c>
    </row>
    <row r="292" spans="1:8" ht="12.75">
      <c r="A292" t="s">
        <v>6</v>
      </c>
      <c r="B292" s="4" t="s">
        <v>295</v>
      </c>
      <c r="D292" t="s">
        <v>21</v>
      </c>
      <c r="E292" t="s">
        <v>21</v>
      </c>
      <c r="F292" t="s">
        <v>10</v>
      </c>
      <c r="G292" t="s">
        <v>11</v>
      </c>
      <c r="H292" s="1" t="str">
        <f>HYPERLINK("http://apps.fcc.gov/ecfs/document/view?id=7520943799","  (2 pages)")</f>
        <v>  (2 pages)</v>
      </c>
    </row>
    <row r="293" spans="1:12" s="4" customFormat="1" ht="12.75">
      <c r="A293" s="4" t="s">
        <v>6</v>
      </c>
      <c r="B293" s="4" t="s">
        <v>1060</v>
      </c>
      <c r="C293" s="4" t="s">
        <v>1157</v>
      </c>
      <c r="D293" s="4" t="s">
        <v>333</v>
      </c>
      <c r="E293" s="4" t="s">
        <v>333</v>
      </c>
      <c r="F293" s="4" t="s">
        <v>10</v>
      </c>
      <c r="G293" s="4" t="s">
        <v>11</v>
      </c>
      <c r="H293" s="7" t="str">
        <f>HYPERLINK("http://apps.fcc.gov/ecfs/document/view?id=7520943376","RCBOE FCC Comment (2 pages)")</f>
        <v>RCBOE FCC Comment (2 pages)</v>
      </c>
      <c r="I293" s="1" t="str">
        <f>HYPERLINK("http://apps.fcc.gov/ecfs/document/view?id=7520944711","  (1 page)")</f>
        <v>  (1 page)</v>
      </c>
      <c r="L293" s="13"/>
    </row>
    <row r="294" spans="1:8" ht="12.75">
      <c r="A294" t="s">
        <v>6</v>
      </c>
      <c r="B294" s="4" t="s">
        <v>1047</v>
      </c>
      <c r="C294" t="s">
        <v>261</v>
      </c>
      <c r="D294" t="s">
        <v>21</v>
      </c>
      <c r="E294" t="s">
        <v>9</v>
      </c>
      <c r="F294" t="s">
        <v>10</v>
      </c>
      <c r="G294" t="s">
        <v>11</v>
      </c>
      <c r="H294" s="1" t="str">
        <f>HYPERLINK("http://apps.fcc.gov/ecfs/document/view?id=7520944126","  (2 pages)")</f>
        <v>  (2 pages)</v>
      </c>
    </row>
    <row r="295" spans="1:8" ht="12.75">
      <c r="A295" t="s">
        <v>6</v>
      </c>
      <c r="B295" s="4" t="s">
        <v>932</v>
      </c>
      <c r="C295" t="s">
        <v>725</v>
      </c>
      <c r="D295" t="s">
        <v>717</v>
      </c>
      <c r="E295" t="s">
        <v>717</v>
      </c>
      <c r="F295" t="s">
        <v>10</v>
      </c>
      <c r="G295" t="s">
        <v>11</v>
      </c>
      <c r="H295" s="1" t="str">
        <f>HYPERLINK("http://apps.fcc.gov/ecfs/document/view?id=7520940450","  (2 pages)")</f>
        <v>  (2 pages)</v>
      </c>
    </row>
    <row r="296" spans="1:8" ht="12.75">
      <c r="A296" t="s">
        <v>6</v>
      </c>
      <c r="B296" s="4" t="s">
        <v>294</v>
      </c>
      <c r="D296" t="s">
        <v>21</v>
      </c>
      <c r="E296" t="s">
        <v>21</v>
      </c>
      <c r="F296" t="s">
        <v>10</v>
      </c>
      <c r="G296" t="s">
        <v>11</v>
      </c>
      <c r="H296" s="1" t="str">
        <f>HYPERLINK("http://apps.fcc.gov/ecfs/document/view?id=7520943811","  (2 pages)")</f>
        <v>  (2 pages)</v>
      </c>
    </row>
    <row r="297" spans="1:8" ht="12.75">
      <c r="A297" t="s">
        <v>6</v>
      </c>
      <c r="B297" s="4" t="s">
        <v>1062</v>
      </c>
      <c r="C297" t="s">
        <v>50</v>
      </c>
      <c r="D297" t="s">
        <v>21</v>
      </c>
      <c r="E297" t="s">
        <v>9</v>
      </c>
      <c r="F297" t="s">
        <v>10</v>
      </c>
      <c r="G297" t="s">
        <v>11</v>
      </c>
      <c r="H297" s="1" t="str">
        <f>HYPERLINK("http://apps.fcc.gov/ecfs/document/view?id=7520944125","  (2 pages)")</f>
        <v>  (2 pages)</v>
      </c>
    </row>
    <row r="298" spans="1:8" ht="12.75">
      <c r="A298" t="s">
        <v>6</v>
      </c>
      <c r="B298" s="8" t="s">
        <v>991</v>
      </c>
      <c r="C298" t="s">
        <v>720</v>
      </c>
      <c r="D298" t="s">
        <v>707</v>
      </c>
      <c r="E298" t="s">
        <v>707</v>
      </c>
      <c r="F298" t="s">
        <v>10</v>
      </c>
      <c r="G298" t="s">
        <v>11</v>
      </c>
      <c r="H298" s="1" t="str">
        <f>HYPERLINK("http://apps.fcc.gov/ecfs/document/view?id=7520940933","  (2 pages)")</f>
        <v>  (2 pages)</v>
      </c>
    </row>
    <row r="299" spans="1:12" ht="12.75">
      <c r="A299" t="s">
        <v>6</v>
      </c>
      <c r="B299" s="4" t="s">
        <v>1026</v>
      </c>
      <c r="C299" t="s">
        <v>698</v>
      </c>
      <c r="D299" t="s">
        <v>685</v>
      </c>
      <c r="E299" t="s">
        <v>685</v>
      </c>
      <c r="F299" t="s">
        <v>10</v>
      </c>
      <c r="G299" t="s">
        <v>11</v>
      </c>
      <c r="H299" s="1" t="str">
        <f>HYPERLINK("http://apps.fcc.gov/ecfs/document/view?id=7520942250","  (2 pages)")</f>
        <v>  (2 pages)</v>
      </c>
      <c r="L299" s="12" t="str">
        <f>HYPERLINK("http://www.e-ratecentral.com/FCC/ERate20NPRMComments/pdf/RockinghamVA_NPRM_Comments_9162013.pdf","Rockingham County Public School (2 pages)")</f>
        <v>Rockingham County Public School (2 pages)</v>
      </c>
    </row>
    <row r="300" spans="1:8" ht="12.75">
      <c r="A300" t="s">
        <v>6</v>
      </c>
      <c r="B300" s="4" t="s">
        <v>529</v>
      </c>
      <c r="D300" t="s">
        <v>524</v>
      </c>
      <c r="E300" t="s">
        <v>333</v>
      </c>
      <c r="F300" t="s">
        <v>10</v>
      </c>
      <c r="G300" t="s">
        <v>11</v>
      </c>
      <c r="H300" s="1" t="str">
        <f>HYPERLINK("http://apps.fcc.gov/ecfs/document/view?id=7520943212","comment on erate NPRM (2 pages)")</f>
        <v>comment on erate NPRM (2 pages)</v>
      </c>
    </row>
    <row r="301" spans="1:8" ht="12.75">
      <c r="A301" t="s">
        <v>6</v>
      </c>
      <c r="B301" s="4" t="s">
        <v>71</v>
      </c>
      <c r="D301" t="s">
        <v>21</v>
      </c>
      <c r="E301" t="s">
        <v>9</v>
      </c>
      <c r="F301" t="s">
        <v>10</v>
      </c>
      <c r="G301" t="s">
        <v>11</v>
      </c>
      <c r="H301" s="1" t="str">
        <f>HYPERLINK("http://apps.fcc.gov/ecfs/document/view?id=7520944084","NPRM from the San Mateo County Office of Education Superintendent Anne Campbell (2 pages)")</f>
        <v>NPRM from the San Mateo County Office of Education Superintendent Anne Campbell (2 pages)</v>
      </c>
    </row>
    <row r="302" spans="1:8" ht="12.75">
      <c r="A302" t="s">
        <v>6</v>
      </c>
      <c r="B302" s="4" t="s">
        <v>905</v>
      </c>
      <c r="C302" t="s">
        <v>723</v>
      </c>
      <c r="D302" t="s">
        <v>717</v>
      </c>
      <c r="E302" t="s">
        <v>717</v>
      </c>
      <c r="F302" t="s">
        <v>10</v>
      </c>
      <c r="G302" t="s">
        <v>11</v>
      </c>
      <c r="H302" s="1" t="str">
        <f>HYPERLINK("http://apps.fcc.gov/ecfs/document/view?id=7520940473","  (2 pages)")</f>
        <v>  (2 pages)</v>
      </c>
    </row>
    <row r="303" spans="1:12" ht="12.75">
      <c r="A303" t="s">
        <v>6</v>
      </c>
      <c r="B303" s="4" t="s">
        <v>819</v>
      </c>
      <c r="C303" t="s">
        <v>926</v>
      </c>
      <c r="D303" t="s">
        <v>21</v>
      </c>
      <c r="E303" t="s">
        <v>9</v>
      </c>
      <c r="F303" t="s">
        <v>10</v>
      </c>
      <c r="G303" t="s">
        <v>11</v>
      </c>
      <c r="H303" s="1" t="str">
        <f>HYPERLINK("http://apps.fcc.gov/ecfs/document/view?id=7520943877","  (2 pages)")</f>
        <v>  (2 pages)</v>
      </c>
      <c r="I303" s="1" t="str">
        <f>HYPERLINK("http://apps.fcc.gov/ecfs/document/view?id=7520943875","  (2 pages)")</f>
        <v>  (2 pages)</v>
      </c>
      <c r="L303" s="12" t="str">
        <f>HYPERLINK("http://www.e-ratecentral.com/FCC/ERate20NPRMComments/pdf/SeminoleCoSD_FL_NPRM_comments_09162013.pdf","Seminole County Public Schools (2 pages)")</f>
        <v>Seminole County Public Schools (2 pages)</v>
      </c>
    </row>
    <row r="304" spans="1:8" ht="12.75">
      <c r="A304" t="s">
        <v>6</v>
      </c>
      <c r="B304" s="4" t="s">
        <v>858</v>
      </c>
      <c r="C304" t="s">
        <v>78</v>
      </c>
      <c r="D304" t="s">
        <v>21</v>
      </c>
      <c r="E304" t="s">
        <v>9</v>
      </c>
      <c r="F304" t="s">
        <v>10</v>
      </c>
      <c r="G304" t="s">
        <v>11</v>
      </c>
      <c r="H304" s="1" t="str">
        <f>HYPERLINK("http://apps.fcc.gov/ecfs/document/view?id=7520944122","  (2 pages)")</f>
        <v>  (2 pages)</v>
      </c>
    </row>
    <row r="305" spans="1:8" ht="12.75">
      <c r="A305" t="s">
        <v>6</v>
      </c>
      <c r="B305" s="4" t="s">
        <v>907</v>
      </c>
      <c r="C305" t="s">
        <v>748</v>
      </c>
      <c r="D305" t="s">
        <v>738</v>
      </c>
      <c r="E305" t="s">
        <v>738</v>
      </c>
      <c r="F305" t="s">
        <v>10</v>
      </c>
      <c r="G305" t="s">
        <v>11</v>
      </c>
      <c r="H305" s="1" t="str">
        <f>HYPERLINK("http://apps.fcc.gov/ecfs/document/view?id=7520940155","  (2 pages)")</f>
        <v>  (2 pages)</v>
      </c>
    </row>
    <row r="306" spans="1:12" ht="12.75">
      <c r="A306" t="s">
        <v>6</v>
      </c>
      <c r="B306" s="4" t="s">
        <v>1012</v>
      </c>
      <c r="C306" t="s">
        <v>287</v>
      </c>
      <c r="D306" t="s">
        <v>21</v>
      </c>
      <c r="E306" t="s">
        <v>21</v>
      </c>
      <c r="F306" t="s">
        <v>10</v>
      </c>
      <c r="G306" t="s">
        <v>11</v>
      </c>
      <c r="H306" s="1" t="str">
        <f>HYPERLINK("http://apps.fcc.gov/ecfs/document/view?id=7520943854","  (2 pages)")</f>
        <v>  (2 pages)</v>
      </c>
      <c r="L306" s="12" t="str">
        <f>HYPERLINK("http://www.e-ratecentral.com/FCC/ERate20NPRMComments/pdf/SpringfieldMA_NPRM_Comments_9-16-2013.pdf","Springfield Public Schools (MA) (2 pages)")</f>
        <v>Springfield Public Schools (MA) (2 pages)</v>
      </c>
    </row>
    <row r="307" spans="1:8" ht="12.75">
      <c r="A307" t="s">
        <v>6</v>
      </c>
      <c r="B307" s="4" t="s">
        <v>1019</v>
      </c>
      <c r="C307" t="s">
        <v>595</v>
      </c>
      <c r="D307" t="s">
        <v>524</v>
      </c>
      <c r="E307" t="s">
        <v>524</v>
      </c>
      <c r="F307" t="s">
        <v>10</v>
      </c>
      <c r="G307" t="s">
        <v>11</v>
      </c>
      <c r="H307" s="1" t="str">
        <f>HYPERLINK("http://apps.fcc.gov/ecfs/document/view?id=7520943022","St John the Evangelist Regional School Comment on E Rate NPRM (2 pages)")</f>
        <v>St John the Evangelist Regional School Comment on E Rate NPRM (2 pages)</v>
      </c>
    </row>
    <row r="308" spans="1:8" ht="12.75">
      <c r="A308" t="s">
        <v>6</v>
      </c>
      <c r="B308" s="4" t="s">
        <v>676</v>
      </c>
      <c r="D308" t="s">
        <v>673</v>
      </c>
      <c r="E308" t="s">
        <v>673</v>
      </c>
      <c r="F308" t="s">
        <v>10</v>
      </c>
      <c r="G308" t="s">
        <v>11</v>
      </c>
      <c r="H308" s="1" t="str">
        <f>HYPERLINK("http://apps.fcc.gov/ecfs/document/view?id=7520942559","St Mary Parish School District Comment on NPRM changes to Email and Web Hosting (2 pages)")</f>
        <v>St Mary Parish School District Comment on NPRM changes to Email and Web Hosting (2 pages)</v>
      </c>
    </row>
    <row r="309" spans="1:12" ht="12.75">
      <c r="A309" t="s">
        <v>6</v>
      </c>
      <c r="B309" s="4" t="s">
        <v>293</v>
      </c>
      <c r="D309" t="s">
        <v>21</v>
      </c>
      <c r="E309" t="s">
        <v>21</v>
      </c>
      <c r="F309" t="s">
        <v>10</v>
      </c>
      <c r="G309" t="s">
        <v>11</v>
      </c>
      <c r="H309" s="1" t="str">
        <f>HYPERLINK("http://apps.fcc.gov/ecfs/document/view?id=7520943809","  (2 pages)")</f>
        <v>  (2 pages)</v>
      </c>
      <c r="L309" s="12" t="str">
        <f>HYPERLINK("http://www.e-ratecentral.com/FCC/ERate20NPRMComments/pdf/13-184 09-16-2013 Stanford University Graduate School of Education 75209.pdf","Stanford University Graduate School of Education (2 pages)")</f>
        <v>Stanford University Graduate School of Education (2 pages)</v>
      </c>
    </row>
    <row r="310" spans="1:8" ht="12.75">
      <c r="A310" t="s">
        <v>6</v>
      </c>
      <c r="B310" s="4" t="s">
        <v>1029</v>
      </c>
      <c r="C310" t="s">
        <v>383</v>
      </c>
      <c r="D310" t="s">
        <v>333</v>
      </c>
      <c r="E310" t="s">
        <v>21</v>
      </c>
      <c r="F310" t="s">
        <v>10</v>
      </c>
      <c r="G310" t="s">
        <v>11</v>
      </c>
      <c r="H310" s="1" t="str">
        <f>HYPERLINK("http://apps.fcc.gov/ecfs/document/view?id=7520943500","  (2 pages)")</f>
        <v>  (2 pages)</v>
      </c>
    </row>
    <row r="311" spans="1:8" ht="12.75">
      <c r="A311" t="s">
        <v>6</v>
      </c>
      <c r="B311" s="4" t="s">
        <v>679</v>
      </c>
      <c r="D311" t="s">
        <v>673</v>
      </c>
      <c r="E311" t="s">
        <v>673</v>
      </c>
      <c r="F311" t="s">
        <v>10</v>
      </c>
      <c r="G311" t="s">
        <v>11</v>
      </c>
      <c r="H311" s="1" t="str">
        <f>HYPERLINK("http://apps.fcc.gov/ecfs/document/view?id=7520942568","SUPERNet Consortium response to NPRM (2 pages)")</f>
        <v>SUPERNet Consortium response to NPRM (2 pages)</v>
      </c>
    </row>
    <row r="312" spans="1:8" ht="12.75">
      <c r="A312" t="s">
        <v>6</v>
      </c>
      <c r="B312" s="4" t="s">
        <v>824</v>
      </c>
      <c r="C312" t="s">
        <v>716</v>
      </c>
      <c r="D312" t="s">
        <v>717</v>
      </c>
      <c r="E312" t="s">
        <v>707</v>
      </c>
      <c r="F312" t="s">
        <v>10</v>
      </c>
      <c r="G312" t="s">
        <v>11</v>
      </c>
      <c r="H312" s="1" t="str">
        <f>HYPERLINK("http://apps.fcc.gov/ecfs/document/view?id=7520940556","  (2 pages)")</f>
        <v>  (2 pages)</v>
      </c>
    </row>
    <row r="313" spans="1:8" ht="12.75">
      <c r="A313" t="s">
        <v>6</v>
      </c>
      <c r="B313" s="4" t="s">
        <v>343</v>
      </c>
      <c r="D313" t="s">
        <v>21</v>
      </c>
      <c r="E313" t="s">
        <v>21</v>
      </c>
      <c r="F313" t="s">
        <v>10</v>
      </c>
      <c r="G313" t="s">
        <v>11</v>
      </c>
      <c r="H313" s="1" t="str">
        <f>HYPERLINK("http://apps.fcc.gov/ecfs/document/view?id=7520943618","  (2 pages)")</f>
        <v>  (2 pages)</v>
      </c>
    </row>
    <row r="314" spans="1:9" ht="12.75">
      <c r="A314" t="s">
        <v>6</v>
      </c>
      <c r="B314" s="4" t="s">
        <v>43</v>
      </c>
      <c r="D314" t="s">
        <v>21</v>
      </c>
      <c r="E314" t="s">
        <v>9</v>
      </c>
      <c r="F314" t="s">
        <v>10</v>
      </c>
      <c r="G314" t="s">
        <v>11</v>
      </c>
      <c r="H314" s="1" t="str">
        <f>HYPERLINK("http://apps.fcc.gov/ecfs/document/view?id=7520943934","  (2 pages)")</f>
        <v>  (2 pages)</v>
      </c>
      <c r="I314" s="1"/>
    </row>
    <row r="315" spans="1:8" ht="12.75">
      <c r="A315" t="s">
        <v>6</v>
      </c>
      <c r="B315" s="4" t="s">
        <v>928</v>
      </c>
      <c r="C315" t="s">
        <v>363</v>
      </c>
      <c r="D315" t="s">
        <v>333</v>
      </c>
      <c r="E315" t="s">
        <v>21</v>
      </c>
      <c r="F315" t="s">
        <v>10</v>
      </c>
      <c r="G315" t="s">
        <v>11</v>
      </c>
      <c r="H315" s="1" t="str">
        <f>HYPERLINK("http://apps.fcc.gov/ecfs/document/view?id=7520943475","Charter Schools and E rate (2 pages)")</f>
        <v>Charter Schools and E rate (2 pages)</v>
      </c>
    </row>
    <row r="316" spans="1:12" ht="12.75">
      <c r="A316" t="s">
        <v>6</v>
      </c>
      <c r="B316" s="4" t="s">
        <v>312</v>
      </c>
      <c r="D316" t="s">
        <v>21</v>
      </c>
      <c r="E316" t="s">
        <v>21</v>
      </c>
      <c r="F316" t="s">
        <v>10</v>
      </c>
      <c r="G316" t="s">
        <v>11</v>
      </c>
      <c r="H316" s="1" t="str">
        <f>HYPERLINK("http://apps.fcc.gov/ecfs/document/view?id=7520943785","  (2 pages)")</f>
        <v>  (2 pages)</v>
      </c>
      <c r="L316" s="12" t="str">
        <f>HYPERLINK("http://www.e-ratecentral.com/FCC/ERate20NPRMComments/pdf/USCof CathBishops_NPRM_Comments_9-16-2013.pdf","United States Conference of Catholic Bishops (2 pages)")</f>
        <v>United States Conference of Catholic Bishops (2 pages)</v>
      </c>
    </row>
    <row r="317" spans="1:8" ht="12.75">
      <c r="A317" t="s">
        <v>6</v>
      </c>
      <c r="B317" s="4" t="s">
        <v>38</v>
      </c>
      <c r="D317" t="s">
        <v>9</v>
      </c>
      <c r="E317" t="s">
        <v>9</v>
      </c>
      <c r="F317" t="s">
        <v>10</v>
      </c>
      <c r="G317" t="s">
        <v>11</v>
      </c>
      <c r="H317" s="1" t="str">
        <f>HYPERLINK("http://apps.fcc.gov/ecfs/document/view?id=7520944158","  (2 pages)")</f>
        <v>  (2 pages)</v>
      </c>
    </row>
    <row r="318" spans="1:12" ht="12.75">
      <c r="A318" t="s">
        <v>6</v>
      </c>
      <c r="B318" s="4" t="s">
        <v>1100</v>
      </c>
      <c r="C318" t="s">
        <v>870</v>
      </c>
      <c r="D318" t="s">
        <v>9</v>
      </c>
      <c r="E318" t="s">
        <v>9</v>
      </c>
      <c r="F318" t="s">
        <v>10</v>
      </c>
      <c r="G318" t="s">
        <v>11</v>
      </c>
      <c r="H318" s="1" t="str">
        <f>HYPERLINK("http://apps.fcc.gov/ecfs/document/view?id=7520944174","  (2 pages)")</f>
        <v>  (2 pages)</v>
      </c>
      <c r="L318" s="12" t="str">
        <f>HYPERLINK("http://www.e-ratecentral.com/FCC/ERate20NPRMComments/pdf/NorrisSoloway_NPRM_Comment_9-16-2013.pdf","University of Michigan &amp; University of North Texas (2 pages)")</f>
        <v>University of Michigan &amp; University of North Texas (2 pages)</v>
      </c>
    </row>
    <row r="319" spans="1:12" ht="12.75">
      <c r="A319" t="s">
        <v>6</v>
      </c>
      <c r="B319" s="4" t="s">
        <v>1095</v>
      </c>
      <c r="C319" t="s">
        <v>1086</v>
      </c>
      <c r="D319" t="s">
        <v>1070</v>
      </c>
      <c r="E319" t="s">
        <v>1070</v>
      </c>
      <c r="F319" t="s">
        <v>10</v>
      </c>
      <c r="G319" t="s">
        <v>11</v>
      </c>
      <c r="H319" s="1" t="str">
        <f>HYPERLINK("http://apps.fcc.gov/ecfs/document/view?id=7520944350","  (2 pages)")</f>
        <v>  (2 pages)</v>
      </c>
      <c r="L319" s="12" t="str">
        <f>HYPERLINK("http://www.e-ratecentral.com/FCC/ERate20NPRMComments/pdf/VermontDeptofLibraries_7520944350.pdf","Vermont Department of Libraries (2 pages)")</f>
        <v>Vermont Department of Libraries (2 pages)</v>
      </c>
    </row>
    <row r="320" spans="1:8" ht="12.75">
      <c r="A320" t="s">
        <v>6</v>
      </c>
      <c r="B320" s="4" t="s">
        <v>826</v>
      </c>
      <c r="C320" t="s">
        <v>586</v>
      </c>
      <c r="D320" t="s">
        <v>524</v>
      </c>
      <c r="E320" t="s">
        <v>524</v>
      </c>
      <c r="F320" t="s">
        <v>10</v>
      </c>
      <c r="G320" t="s">
        <v>11</v>
      </c>
      <c r="H320" s="1" t="str">
        <f>HYPERLINK("http://apps.fcc.gov/ecfs/document/view?id=7520943020","Charter School Comments (2 pages)")</f>
        <v>Charter School Comments (2 pages)</v>
      </c>
    </row>
    <row r="321" spans="1:8" ht="12.75">
      <c r="A321" t="s">
        <v>6</v>
      </c>
      <c r="B321" s="4" t="s">
        <v>33</v>
      </c>
      <c r="D321" t="s">
        <v>21</v>
      </c>
      <c r="E321" t="s">
        <v>9</v>
      </c>
      <c r="F321" t="s">
        <v>10</v>
      </c>
      <c r="G321" t="s">
        <v>11</v>
      </c>
      <c r="H321" s="1" t="str">
        <f>HYPERLINK("http://apps.fcc.gov/ecfs/document/view?id=7520944061","Comment letter (2 pages)")</f>
        <v>Comment letter (2 pages)</v>
      </c>
    </row>
    <row r="322" spans="1:8" ht="12.75">
      <c r="A322" t="s">
        <v>6</v>
      </c>
      <c r="B322" s="4" t="s">
        <v>699</v>
      </c>
      <c r="D322" t="s">
        <v>685</v>
      </c>
      <c r="E322" t="s">
        <v>685</v>
      </c>
      <c r="F322" t="s">
        <v>10</v>
      </c>
      <c r="G322" t="s">
        <v>11</v>
      </c>
      <c r="H322" s="1" t="str">
        <f>HYPERLINK("http://apps.fcc.gov/ecfs/document/view?id=7520942242","E rate letter (2 pages)")</f>
        <v>E rate letter (2 pages)</v>
      </c>
    </row>
    <row r="323" spans="1:8" ht="12.75">
      <c r="A323" t="s">
        <v>6</v>
      </c>
      <c r="B323" s="4" t="s">
        <v>330</v>
      </c>
      <c r="D323" t="s">
        <v>21</v>
      </c>
      <c r="E323" t="s">
        <v>21</v>
      </c>
      <c r="F323" t="s">
        <v>10</v>
      </c>
      <c r="G323" t="s">
        <v>11</v>
      </c>
      <c r="H323" s="1" t="str">
        <f>HYPERLINK("http://apps.fcc.gov/ecfs/document/view?id=7520943717","  (2 pages)")</f>
        <v>  (2 pages)</v>
      </c>
    </row>
    <row r="324" ht="12.75">
      <c r="H324" s="1"/>
    </row>
    <row r="325" spans="1:8" ht="12.75">
      <c r="A325" s="5" t="s">
        <v>1099</v>
      </c>
      <c r="H325" s="1"/>
    </row>
    <row r="326" spans="1:8" ht="12.75">
      <c r="A326" t="s">
        <v>6</v>
      </c>
      <c r="B326" s="4" t="s">
        <v>941</v>
      </c>
      <c r="C326" t="s">
        <v>152</v>
      </c>
      <c r="D326" t="s">
        <v>21</v>
      </c>
      <c r="E326" t="s">
        <v>9</v>
      </c>
      <c r="F326" t="s">
        <v>10</v>
      </c>
      <c r="G326" t="s">
        <v>11</v>
      </c>
      <c r="H326" s="1" t="str">
        <f>HYPERLINK("http://apps.fcc.gov/ecfs/document/view?id=7520944100","Crowley (1 page)")</f>
        <v>Crowley (1 page)</v>
      </c>
    </row>
    <row r="327" spans="1:8" ht="12.75">
      <c r="A327" t="s">
        <v>6</v>
      </c>
      <c r="B327" s="4" t="s">
        <v>939</v>
      </c>
      <c r="C327" t="s">
        <v>150</v>
      </c>
      <c r="D327" t="s">
        <v>21</v>
      </c>
      <c r="E327" t="s">
        <v>9</v>
      </c>
      <c r="F327" t="s">
        <v>10</v>
      </c>
      <c r="G327" t="s">
        <v>11</v>
      </c>
      <c r="H327" s="1" t="str">
        <f>HYPERLINK("http://apps.fcc.gov/ecfs/document/view?id=7520943907","  (1 page)")</f>
        <v>  (1 page)</v>
      </c>
    </row>
    <row r="328" spans="1:12" ht="12.75">
      <c r="A328" t="s">
        <v>6</v>
      </c>
      <c r="B328" s="4" t="s">
        <v>327</v>
      </c>
      <c r="D328" t="s">
        <v>21</v>
      </c>
      <c r="E328" t="s">
        <v>21</v>
      </c>
      <c r="F328" t="s">
        <v>10</v>
      </c>
      <c r="G328" t="s">
        <v>11</v>
      </c>
      <c r="H328" s="1" t="str">
        <f>HYPERLINK("http://apps.fcc.gov/ecfs/document/view?id=7520943767","AFT Comments on E Rate (1 page)")</f>
        <v>AFT Comments on E Rate (1 page)</v>
      </c>
      <c r="L328" s="12" t="str">
        <f>HYPERLINK("http://www.e-ratecentral.com/FCC/ERate20NPRMComments/pdf/AmericanFedofTeachers_NPRM_Comments_9-16-2013.pdf","American Federation of Teachers (1 pages)")</f>
        <v>American Federation of Teachers (1 pages)</v>
      </c>
    </row>
    <row r="329" spans="1:8" ht="12.75">
      <c r="A329" t="s">
        <v>6</v>
      </c>
      <c r="B329" s="4" t="s">
        <v>252</v>
      </c>
      <c r="D329" t="s">
        <v>9</v>
      </c>
      <c r="E329" t="s">
        <v>9</v>
      </c>
      <c r="F329" t="s">
        <v>10</v>
      </c>
      <c r="G329" t="s">
        <v>11</v>
      </c>
      <c r="H329" s="1" t="str">
        <f>HYPERLINK("http://apps.fcc.gov/ecfs/document/view?id=7520944251","  (1 page)")</f>
        <v>  (1 page)</v>
      </c>
    </row>
    <row r="330" spans="1:8" ht="12.75">
      <c r="A330" t="s">
        <v>6</v>
      </c>
      <c r="B330" s="4" t="s">
        <v>1144</v>
      </c>
      <c r="D330" t="s">
        <v>1070</v>
      </c>
      <c r="E330" t="s">
        <v>1109</v>
      </c>
      <c r="F330" t="s">
        <v>10</v>
      </c>
      <c r="G330" t="s">
        <v>11</v>
      </c>
      <c r="H330" s="1" t="str">
        <f>HYPERLINK("http://apps.fcc.gov/ecfs/document/view?id=7520944448","  (1 page)")</f>
        <v>  (1 page)</v>
      </c>
    </row>
    <row r="331" spans="1:8" ht="12.75">
      <c r="A331" t="s">
        <v>6</v>
      </c>
      <c r="B331" s="4" t="s">
        <v>386</v>
      </c>
      <c r="D331" t="s">
        <v>333</v>
      </c>
      <c r="E331" t="s">
        <v>21</v>
      </c>
      <c r="F331" t="s">
        <v>10</v>
      </c>
      <c r="G331" t="s">
        <v>11</v>
      </c>
      <c r="H331" s="1" t="str">
        <f>HYPERLINK("http://apps.fcc.gov/ecfs/document/view?id=7520943452","  (1 page)")</f>
        <v>  (1 page)</v>
      </c>
    </row>
    <row r="332" spans="1:8" ht="12.75">
      <c r="A332" t="s">
        <v>6</v>
      </c>
      <c r="B332" s="4" t="s">
        <v>649</v>
      </c>
      <c r="C332" t="s">
        <v>650</v>
      </c>
      <c r="D332" t="s">
        <v>598</v>
      </c>
      <c r="E332" t="s">
        <v>598</v>
      </c>
      <c r="F332" t="s">
        <v>10</v>
      </c>
      <c r="G332" t="s">
        <v>11</v>
      </c>
      <c r="H332" s="1" t="str">
        <f>HYPERLINK("http://apps.fcc.gov/ecfs/document/view?id=7520942885","parent e rate comment (1 page)")</f>
        <v>parent e rate comment (1 page)</v>
      </c>
    </row>
    <row r="333" spans="1:8" ht="12.75">
      <c r="A333" t="s">
        <v>6</v>
      </c>
      <c r="B333" s="4" t="s">
        <v>500</v>
      </c>
      <c r="D333" t="s">
        <v>333</v>
      </c>
      <c r="E333" t="s">
        <v>333</v>
      </c>
      <c r="F333" t="s">
        <v>10</v>
      </c>
      <c r="G333" t="s">
        <v>11</v>
      </c>
      <c r="H333" s="1" t="str">
        <f>HYPERLINK("http://apps.fcc.gov/ecfs/document/view?id=7520943421","  (1 page)")</f>
        <v>  (1 page)</v>
      </c>
    </row>
    <row r="334" spans="1:8" ht="12.75">
      <c r="A334" t="s">
        <v>6</v>
      </c>
      <c r="B334" s="4" t="s">
        <v>1149</v>
      </c>
      <c r="C334" t="s">
        <v>1128</v>
      </c>
      <c r="D334" t="s">
        <v>1070</v>
      </c>
      <c r="E334" t="s">
        <v>1109</v>
      </c>
      <c r="F334" t="s">
        <v>10</v>
      </c>
      <c r="G334" t="s">
        <v>11</v>
      </c>
      <c r="H334" s="1" t="str">
        <f>HYPERLINK("http://apps.fcc.gov/ecfs/document/view?id=7520944460","  (1 page)")</f>
        <v>  (1 page)</v>
      </c>
    </row>
    <row r="335" spans="1:8" ht="12.75">
      <c r="A335" t="s">
        <v>6</v>
      </c>
      <c r="B335" s="4" t="s">
        <v>499</v>
      </c>
      <c r="D335" t="s">
        <v>333</v>
      </c>
      <c r="E335" t="s">
        <v>333</v>
      </c>
      <c r="F335" t="s">
        <v>10</v>
      </c>
      <c r="G335" t="s">
        <v>11</v>
      </c>
      <c r="H335" s="1" t="str">
        <f>HYPERLINK("http://apps.fcc.gov/ecfs/document/view?id=7520943384","  (1 page)")</f>
        <v>  (1 page)</v>
      </c>
    </row>
    <row r="336" spans="1:8" ht="12.75">
      <c r="A336" t="s">
        <v>6</v>
      </c>
      <c r="B336" s="4" t="s">
        <v>250</v>
      </c>
      <c r="D336" t="s">
        <v>21</v>
      </c>
      <c r="E336" t="s">
        <v>9</v>
      </c>
      <c r="F336" t="s">
        <v>10</v>
      </c>
      <c r="G336" t="s">
        <v>11</v>
      </c>
      <c r="H336" s="1" t="str">
        <f>HYPERLINK("http://apps.fcc.gov/ecfs/document/view?id=7520943871","  (1 page)")</f>
        <v>  (1 page)</v>
      </c>
    </row>
    <row r="337" spans="1:8" ht="12.75">
      <c r="A337" t="s">
        <v>6</v>
      </c>
      <c r="B337" s="4" t="s">
        <v>683</v>
      </c>
      <c r="D337" t="s">
        <v>673</v>
      </c>
      <c r="E337" t="s">
        <v>673</v>
      </c>
      <c r="F337" t="s">
        <v>10</v>
      </c>
      <c r="G337" t="s">
        <v>11</v>
      </c>
      <c r="H337" s="1" t="str">
        <f>HYPERLINK("http://apps.fcc.gov/ecfs/document/view?id=7520942546"," (1 page)")</f>
        <v> (1 page)</v>
      </c>
    </row>
    <row r="338" spans="1:8" ht="12.75">
      <c r="A338" t="s">
        <v>6</v>
      </c>
      <c r="B338" s="4" t="s">
        <v>781</v>
      </c>
      <c r="D338" t="s">
        <v>768</v>
      </c>
      <c r="E338" t="s">
        <v>768</v>
      </c>
      <c r="F338" t="s">
        <v>10</v>
      </c>
      <c r="G338" t="s">
        <v>11</v>
      </c>
      <c r="H338" s="1" t="str">
        <f>HYPERLINK("http://apps.fcc.gov/ecfs/document/view?id=7520938521"," (1 page)")</f>
        <v> (1 page)</v>
      </c>
    </row>
    <row r="339" spans="1:8" ht="12.75">
      <c r="A339" t="s">
        <v>6</v>
      </c>
      <c r="B339" s="4" t="s">
        <v>810</v>
      </c>
      <c r="C339" t="s">
        <v>404</v>
      </c>
      <c r="D339" t="s">
        <v>333</v>
      </c>
      <c r="E339" t="s">
        <v>333</v>
      </c>
      <c r="F339" t="s">
        <v>10</v>
      </c>
      <c r="G339" t="s">
        <v>11</v>
      </c>
      <c r="H339" s="1" t="str">
        <f>HYPERLINK("http://apps.fcc.gov/ecfs/document/view?id=7520943338","AA Comment on E Rate NPRM (1 page)")</f>
        <v>AA Comment on E Rate NPRM (1 page)</v>
      </c>
    </row>
    <row r="340" spans="1:8" ht="12.75">
      <c r="A340" t="s">
        <v>6</v>
      </c>
      <c r="B340" s="4" t="s">
        <v>832</v>
      </c>
      <c r="C340" t="s">
        <v>599</v>
      </c>
      <c r="D340" t="s">
        <v>598</v>
      </c>
      <c r="E340" t="s">
        <v>524</v>
      </c>
      <c r="F340" t="s">
        <v>10</v>
      </c>
      <c r="G340" t="s">
        <v>11</v>
      </c>
      <c r="H340" s="1" t="str">
        <f>HYPERLINK("http://apps.fcc.gov/ecfs/document/view?id=7520942960","  (1 page)")</f>
        <v>  (1 page)</v>
      </c>
    </row>
    <row r="341" spans="1:8" ht="12.75">
      <c r="A341" t="s">
        <v>6</v>
      </c>
      <c r="B341" s="4" t="s">
        <v>385</v>
      </c>
      <c r="D341" t="s">
        <v>333</v>
      </c>
      <c r="E341" t="s">
        <v>21</v>
      </c>
      <c r="F341" t="s">
        <v>10</v>
      </c>
      <c r="G341" t="s">
        <v>11</v>
      </c>
      <c r="H341" s="1" t="str">
        <f>HYPERLINK("http://apps.fcc.gov/ecfs/document/view?id=7520943471","  (1 page)")</f>
        <v>  (1 page)</v>
      </c>
    </row>
    <row r="342" spans="1:8" ht="12.75">
      <c r="A342" t="s">
        <v>6</v>
      </c>
      <c r="B342" s="4" t="s">
        <v>627</v>
      </c>
      <c r="D342" t="s">
        <v>598</v>
      </c>
      <c r="E342" t="s">
        <v>524</v>
      </c>
      <c r="F342" t="s">
        <v>10</v>
      </c>
      <c r="G342" t="s">
        <v>11</v>
      </c>
      <c r="H342" s="1" t="str">
        <f>HYPERLINK("http://apps.fcc.gov/ecfs/document/view?id=7520942921"," (1 page)")</f>
        <v> (1 page)</v>
      </c>
    </row>
    <row r="343" spans="1:8" ht="12.75">
      <c r="A343" t="s">
        <v>6</v>
      </c>
      <c r="B343" s="4" t="s">
        <v>876</v>
      </c>
      <c r="C343" t="s">
        <v>776</v>
      </c>
      <c r="D343" t="s">
        <v>770</v>
      </c>
      <c r="E343" t="s">
        <v>768</v>
      </c>
      <c r="F343" t="s">
        <v>10</v>
      </c>
      <c r="G343" t="s">
        <v>11</v>
      </c>
      <c r="H343" s="1" t="str">
        <f>HYPERLINK("http://apps.fcc.gov/ecfs/document/view?id=7520938192"," (1 page)")</f>
        <v> (1 page)</v>
      </c>
    </row>
    <row r="344" spans="1:8" ht="12.75">
      <c r="A344" t="s">
        <v>6</v>
      </c>
      <c r="B344" s="4" t="s">
        <v>672</v>
      </c>
      <c r="D344" t="s">
        <v>673</v>
      </c>
      <c r="E344" t="s">
        <v>553</v>
      </c>
      <c r="F344" t="s">
        <v>10</v>
      </c>
      <c r="G344" t="s">
        <v>11</v>
      </c>
      <c r="H344" s="1" t="str">
        <f>HYPERLINK("http://apps.fcc.gov/ecfs/document/view?id=7520942624","School District Comment on NPRM changes to Email and Web Hosting (1 page)")</f>
        <v>School District Comment on NPRM changes to Email and Web Hosting (1 page)</v>
      </c>
    </row>
    <row r="345" spans="1:8" ht="12.75">
      <c r="A345" t="s">
        <v>6</v>
      </c>
      <c r="B345" s="4" t="s">
        <v>248</v>
      </c>
      <c r="D345" t="s">
        <v>9</v>
      </c>
      <c r="E345" t="s">
        <v>9</v>
      </c>
      <c r="F345" t="s">
        <v>10</v>
      </c>
      <c r="G345" t="s">
        <v>11</v>
      </c>
      <c r="H345" s="1" t="str">
        <f>HYPERLINK("http://apps.fcc.gov/ecfs/document/view?id=7520944216","  (1 page)")</f>
        <v>  (1 page)</v>
      </c>
    </row>
    <row r="346" spans="1:8" ht="12.75">
      <c r="A346" t="s">
        <v>6</v>
      </c>
      <c r="B346" s="4" t="s">
        <v>551</v>
      </c>
      <c r="D346" t="s">
        <v>333</v>
      </c>
      <c r="E346" t="s">
        <v>333</v>
      </c>
      <c r="F346" t="s">
        <v>10</v>
      </c>
      <c r="G346" t="s">
        <v>11</v>
      </c>
      <c r="H346" s="1" t="str">
        <f>HYPERLINK("http://apps.fcc.gov/ecfs/document/view?id=7520943226"," (1 page)")</f>
        <v> (1 page)</v>
      </c>
    </row>
    <row r="347" spans="1:8" ht="12.75">
      <c r="A347" t="s">
        <v>6</v>
      </c>
      <c r="B347" s="4" t="s">
        <v>923</v>
      </c>
      <c r="C347" t="s">
        <v>613</v>
      </c>
      <c r="D347" t="s">
        <v>598</v>
      </c>
      <c r="E347" t="s">
        <v>524</v>
      </c>
      <c r="F347" t="s">
        <v>10</v>
      </c>
      <c r="G347" t="s">
        <v>11</v>
      </c>
      <c r="H347" s="1" t="str">
        <f>HYPERLINK("http://apps.fcc.gov/ecfs/document/view?id=7520942983","  (1 page)")</f>
        <v>  (1 page)</v>
      </c>
    </row>
    <row r="348" spans="1:8" ht="12.75">
      <c r="A348" t="s">
        <v>6</v>
      </c>
      <c r="B348" s="4" t="s">
        <v>934</v>
      </c>
      <c r="C348" t="s">
        <v>301</v>
      </c>
      <c r="D348" t="s">
        <v>21</v>
      </c>
      <c r="E348" t="s">
        <v>21</v>
      </c>
      <c r="F348" t="s">
        <v>10</v>
      </c>
      <c r="G348" t="s">
        <v>11</v>
      </c>
      <c r="H348" s="1" t="str">
        <f>HYPERLINK("http://apps.fcc.gov/ecfs/document/view?id=7520943810","  (1 page)")</f>
        <v>  (1 page)</v>
      </c>
    </row>
    <row r="349" spans="1:8" ht="12.75">
      <c r="A349" t="s">
        <v>6</v>
      </c>
      <c r="B349" s="4" t="s">
        <v>1119</v>
      </c>
      <c r="D349" t="s">
        <v>1109</v>
      </c>
      <c r="E349" t="s">
        <v>1109</v>
      </c>
      <c r="F349" t="s">
        <v>10</v>
      </c>
      <c r="G349" t="s">
        <v>11</v>
      </c>
      <c r="H349" s="1" t="str">
        <f>HYPERLINK("http://apps.fcc.gov/ecfs/document/view?id=7520944717","  (1 page)")</f>
        <v>  (1 page)</v>
      </c>
    </row>
    <row r="350" spans="1:8" ht="12.75">
      <c r="A350" t="s">
        <v>6</v>
      </c>
      <c r="B350" s="4" t="s">
        <v>498</v>
      </c>
      <c r="D350" t="s">
        <v>333</v>
      </c>
      <c r="E350" t="s">
        <v>333</v>
      </c>
      <c r="F350" t="s">
        <v>10</v>
      </c>
      <c r="G350" t="s">
        <v>11</v>
      </c>
      <c r="H350" s="1" t="str">
        <f>HYPERLINK("http://apps.fcc.gov/ecfs/document/view?id=7520943410"," (1 page)")</f>
        <v> (1 page)</v>
      </c>
    </row>
    <row r="351" spans="1:8" ht="12.75">
      <c r="A351" t="s">
        <v>6</v>
      </c>
      <c r="B351" s="4" t="s">
        <v>751</v>
      </c>
      <c r="D351" t="s">
        <v>750</v>
      </c>
      <c r="E351" t="s">
        <v>738</v>
      </c>
      <c r="F351" t="s">
        <v>10</v>
      </c>
      <c r="G351" t="s">
        <v>11</v>
      </c>
      <c r="H351" s="1" t="str">
        <f>HYPERLINK("http://apps.fcc.gov/ecfs/document/view?id=7520940133"," (1 page)")</f>
        <v> (1 page)</v>
      </c>
    </row>
    <row r="352" spans="1:8" ht="12.75">
      <c r="A352" t="s">
        <v>6</v>
      </c>
      <c r="B352" s="4" t="s">
        <v>389</v>
      </c>
      <c r="D352" t="s">
        <v>333</v>
      </c>
      <c r="E352" t="s">
        <v>333</v>
      </c>
      <c r="F352" t="s">
        <v>10</v>
      </c>
      <c r="G352" t="s">
        <v>11</v>
      </c>
      <c r="H352" s="1" t="str">
        <f>HYPERLINK("http://apps.fcc.gov/ecfs/document/view?id=7520943444","  (1 page)")</f>
        <v>  (1 page)</v>
      </c>
    </row>
    <row r="353" spans="1:8" ht="12.75">
      <c r="A353" t="s">
        <v>6</v>
      </c>
      <c r="B353" s="4" t="s">
        <v>585</v>
      </c>
      <c r="D353" t="s">
        <v>524</v>
      </c>
      <c r="E353" t="s">
        <v>524</v>
      </c>
      <c r="F353" t="s">
        <v>10</v>
      </c>
      <c r="G353" t="s">
        <v>11</v>
      </c>
      <c r="H353" s="1" t="str">
        <f>HYPERLINK("http://apps.fcc.gov/ecfs/document/view?id=7520943080","  (1 page)")</f>
        <v>  (1 page)</v>
      </c>
    </row>
    <row r="354" spans="1:8" ht="12.75">
      <c r="A354" t="s">
        <v>6</v>
      </c>
      <c r="B354" s="4" t="s">
        <v>1151</v>
      </c>
      <c r="C354" t="s">
        <v>1131</v>
      </c>
      <c r="D354" t="s">
        <v>1070</v>
      </c>
      <c r="E354" t="s">
        <v>1109</v>
      </c>
      <c r="F354" t="s">
        <v>10</v>
      </c>
      <c r="G354" t="s">
        <v>11</v>
      </c>
      <c r="H354" s="1" t="str">
        <f>HYPERLINK("http://apps.fcc.gov/ecfs/document/view?id=7520944439","  (1 page)")</f>
        <v>  (1 page)</v>
      </c>
    </row>
    <row r="355" spans="1:8" ht="12.75">
      <c r="A355" t="s">
        <v>6</v>
      </c>
      <c r="B355" s="4" t="s">
        <v>887</v>
      </c>
      <c r="C355" t="s">
        <v>635</v>
      </c>
      <c r="D355" t="s">
        <v>598</v>
      </c>
      <c r="E355" t="s">
        <v>598</v>
      </c>
      <c r="F355" t="s">
        <v>10</v>
      </c>
      <c r="G355" t="s">
        <v>11</v>
      </c>
      <c r="H355" s="1" t="str">
        <f>HYPERLINK("http://apps.fcc.gov/ecfs/document/view?id=7520942891","Comment (1 page)")</f>
        <v>Comment (1 page)</v>
      </c>
    </row>
    <row r="356" spans="1:8" ht="12.75">
      <c r="A356" t="s">
        <v>6</v>
      </c>
      <c r="B356" s="4" t="s">
        <v>496</v>
      </c>
      <c r="D356" t="s">
        <v>333</v>
      </c>
      <c r="E356" t="s">
        <v>333</v>
      </c>
      <c r="F356" t="s">
        <v>10</v>
      </c>
      <c r="G356" t="s">
        <v>11</v>
      </c>
      <c r="H356" s="1" t="str">
        <f>HYPERLINK("http://apps.fcc.gov/ecfs/document/view?id=7520943366"," (1 page)")</f>
        <v> (1 page)</v>
      </c>
    </row>
    <row r="357" spans="1:8" ht="12.75">
      <c r="A357" t="s">
        <v>6</v>
      </c>
      <c r="B357" s="4" t="s">
        <v>1041</v>
      </c>
      <c r="C357" t="s">
        <v>246</v>
      </c>
      <c r="D357" t="s">
        <v>9</v>
      </c>
      <c r="E357" t="s">
        <v>9</v>
      </c>
      <c r="F357" t="s">
        <v>10</v>
      </c>
      <c r="G357" t="s">
        <v>11</v>
      </c>
      <c r="H357" s="1" t="str">
        <f>HYPERLINK("http://apps.fcc.gov/ecfs/document/view?id=7520944245","  (1 page)")</f>
        <v>  (1 page)</v>
      </c>
    </row>
    <row r="358" spans="1:8" ht="12.75">
      <c r="A358" t="s">
        <v>6</v>
      </c>
      <c r="B358" s="4" t="s">
        <v>495</v>
      </c>
      <c r="D358" t="s">
        <v>333</v>
      </c>
      <c r="E358" t="s">
        <v>333</v>
      </c>
      <c r="F358" t="s">
        <v>10</v>
      </c>
      <c r="G358" t="s">
        <v>11</v>
      </c>
      <c r="H358" s="1" t="str">
        <f>HYPERLINK("http://apps.fcc.gov/ecfs/document/view?id=7520943357"," (1 page)")</f>
        <v> (1 page)</v>
      </c>
    </row>
    <row r="359" spans="1:8" ht="12.75">
      <c r="A359" t="s">
        <v>6</v>
      </c>
      <c r="B359" s="4" t="s">
        <v>494</v>
      </c>
      <c r="D359" t="s">
        <v>333</v>
      </c>
      <c r="E359" t="s">
        <v>333</v>
      </c>
      <c r="F359" t="s">
        <v>10</v>
      </c>
      <c r="G359" t="s">
        <v>11</v>
      </c>
      <c r="H359" s="1" t="str">
        <f>HYPERLINK("http://apps.fcc.gov/ecfs/document/view?id=7520943433","  (1 page)")</f>
        <v>  (1 page)</v>
      </c>
    </row>
    <row r="360" spans="1:8" ht="12.75">
      <c r="A360" t="s">
        <v>6</v>
      </c>
      <c r="B360" s="4" t="s">
        <v>1002</v>
      </c>
      <c r="C360" t="s">
        <v>474</v>
      </c>
      <c r="D360" t="s">
        <v>333</v>
      </c>
      <c r="E360" t="s">
        <v>333</v>
      </c>
      <c r="F360" t="s">
        <v>10</v>
      </c>
      <c r="G360" t="s">
        <v>11</v>
      </c>
      <c r="H360" s="1" t="str">
        <f>HYPERLINK("http://apps.fcc.gov/ecfs/document/view?id=7520943403","  (1 page)")</f>
        <v>  (1 page)</v>
      </c>
    </row>
    <row r="361" spans="1:8" ht="12.75">
      <c r="A361" t="s">
        <v>6</v>
      </c>
      <c r="B361" s="4" t="s">
        <v>1150</v>
      </c>
      <c r="C361" t="s">
        <v>1129</v>
      </c>
      <c r="D361" t="s">
        <v>1070</v>
      </c>
      <c r="E361" t="s">
        <v>1109</v>
      </c>
      <c r="F361" t="s">
        <v>10</v>
      </c>
      <c r="G361" t="s">
        <v>11</v>
      </c>
      <c r="H361" s="1" t="str">
        <f>HYPERLINK("http://apps.fcc.gov/ecfs/document/view?id=7520944442","  (1 page)")</f>
        <v>  (1 page)</v>
      </c>
    </row>
    <row r="362" spans="1:8" ht="12.75">
      <c r="A362" t="s">
        <v>6</v>
      </c>
      <c r="B362" s="4" t="s">
        <v>901</v>
      </c>
      <c r="C362" t="s">
        <v>512</v>
      </c>
      <c r="D362" t="s">
        <v>333</v>
      </c>
      <c r="E362" t="s">
        <v>333</v>
      </c>
      <c r="F362" t="s">
        <v>10</v>
      </c>
      <c r="G362" t="s">
        <v>11</v>
      </c>
      <c r="H362" s="1" t="str">
        <f>HYPERLINK("http://apps.fcc.gov/ecfs/document/view?id=7520943256","  (1 page)")</f>
        <v>  (1 page)</v>
      </c>
    </row>
    <row r="363" spans="1:8" ht="12.75">
      <c r="A363" t="s">
        <v>6</v>
      </c>
      <c r="B363" s="4" t="s">
        <v>584</v>
      </c>
      <c r="D363" t="s">
        <v>524</v>
      </c>
      <c r="E363" t="s">
        <v>524</v>
      </c>
      <c r="F363" t="s">
        <v>10</v>
      </c>
      <c r="G363" t="s">
        <v>11</v>
      </c>
      <c r="H363" s="1" t="str">
        <f>HYPERLINK("http://apps.fcc.gov/ecfs/document/view?id=7520943072","  (1 page)")</f>
        <v>  (1 page)</v>
      </c>
    </row>
    <row r="364" spans="1:8" ht="12.75">
      <c r="A364" t="s">
        <v>6</v>
      </c>
      <c r="B364" s="4" t="s">
        <v>1048</v>
      </c>
      <c r="D364" t="s">
        <v>598</v>
      </c>
      <c r="E364" t="s">
        <v>524</v>
      </c>
      <c r="F364" t="s">
        <v>10</v>
      </c>
      <c r="G364" t="s">
        <v>11</v>
      </c>
      <c r="H364" s="1" t="str">
        <f>HYPERLINK("http://apps.fcc.gov/ecfs/document/view?id=7520942967","  (1 page)")</f>
        <v>  (1 page)</v>
      </c>
    </row>
    <row r="365" spans="1:8" ht="12.75">
      <c r="A365" t="s">
        <v>6</v>
      </c>
      <c r="B365" s="4" t="s">
        <v>384</v>
      </c>
      <c r="D365" t="s">
        <v>333</v>
      </c>
      <c r="E365" t="s">
        <v>21</v>
      </c>
      <c r="F365" t="s">
        <v>10</v>
      </c>
      <c r="G365" t="s">
        <v>11</v>
      </c>
      <c r="H365" s="1" t="str">
        <f>HYPERLINK("http://apps.fcc.gov/ecfs/document/view?id=7520943457","  (1 page)")</f>
        <v>  (1 page)</v>
      </c>
    </row>
    <row r="366" spans="1:8" ht="12.75">
      <c r="A366" t="s">
        <v>6</v>
      </c>
      <c r="B366" s="4" t="s">
        <v>1155</v>
      </c>
      <c r="C366" t="s">
        <v>1138</v>
      </c>
      <c r="D366" t="s">
        <v>1070</v>
      </c>
      <c r="E366" t="s">
        <v>1109</v>
      </c>
      <c r="F366" t="s">
        <v>10</v>
      </c>
      <c r="G366" t="s">
        <v>11</v>
      </c>
      <c r="H366" s="1" t="str">
        <f>HYPERLINK("http://apps.fcc.gov/ecfs/document/view?id=7520944447","  (1 page)")</f>
        <v>  (1 page)</v>
      </c>
    </row>
    <row r="367" spans="1:12" ht="12.75">
      <c r="A367" t="s">
        <v>6</v>
      </c>
      <c r="B367" s="4" t="s">
        <v>990</v>
      </c>
      <c r="C367" t="s">
        <v>989</v>
      </c>
      <c r="D367" t="s">
        <v>21</v>
      </c>
      <c r="E367" t="s">
        <v>21</v>
      </c>
      <c r="F367" t="s">
        <v>10</v>
      </c>
      <c r="G367" t="s">
        <v>11</v>
      </c>
      <c r="H367" s="1" t="str">
        <f>HYPERLINK("http://apps.fcc.gov/ecfs/document/view?id=7520943774","District Comment on E Rate NPRM  (1 page)")</f>
        <v>District Comment on E Rate NPRM  (1 page)</v>
      </c>
      <c r="I367" s="1" t="str">
        <f>HYPERLINK("http://apps.fcc.gov/ecfs/document/view?id=7520943775","District Comment on E Rate NPRM  (1 page)")</f>
        <v>District Comment on E Rate NPRM  (1 page)</v>
      </c>
      <c r="L367" s="12" t="str">
        <f>HYPERLINK("http://www.e-ratecentral.com/FCC/ERate20NPRMComments/pdf/Abshire_NPRM_comments_9-16-2013.pdf","Calcasieu Parish Public Schools (1 pages)")</f>
        <v>Calcasieu Parish Public Schools (1 pages)</v>
      </c>
    </row>
    <row r="368" spans="1:8" ht="12.75">
      <c r="A368" t="s">
        <v>6</v>
      </c>
      <c r="B368" s="4" t="s">
        <v>902</v>
      </c>
      <c r="C368" t="s">
        <v>359</v>
      </c>
      <c r="D368" t="s">
        <v>333</v>
      </c>
      <c r="E368" t="s">
        <v>21</v>
      </c>
      <c r="F368" t="s">
        <v>10</v>
      </c>
      <c r="G368" t="s">
        <v>11</v>
      </c>
      <c r="H368" s="1" t="str">
        <f>HYPERLINK("http://apps.fcc.gov/ecfs/document/view?id=7520943480","Canutillo ISD Comment (1 page)")</f>
        <v>Canutillo ISD Comment (1 page)</v>
      </c>
    </row>
    <row r="369" spans="1:8" ht="12.75">
      <c r="A369" t="s">
        <v>6</v>
      </c>
      <c r="B369" s="4" t="s">
        <v>382</v>
      </c>
      <c r="D369" t="s">
        <v>21</v>
      </c>
      <c r="E369" t="s">
        <v>21</v>
      </c>
      <c r="F369" t="s">
        <v>10</v>
      </c>
      <c r="G369" t="s">
        <v>11</v>
      </c>
      <c r="H369" s="1" t="str">
        <f>HYPERLINK("http://apps.fcc.gov/ecfs/document/view?id=7520943687"," (1 page)")</f>
        <v> (1 page)</v>
      </c>
    </row>
    <row r="370" spans="1:8" ht="12.75">
      <c r="A370" t="s">
        <v>6</v>
      </c>
      <c r="B370" s="4" t="s">
        <v>19</v>
      </c>
      <c r="D370" t="s">
        <v>9</v>
      </c>
      <c r="E370" t="s">
        <v>9</v>
      </c>
      <c r="F370" t="s">
        <v>10</v>
      </c>
      <c r="G370" t="s">
        <v>11</v>
      </c>
      <c r="H370" s="1" t="str">
        <f>HYPERLINK("http://apps.fcc.gov/ecfs/document/view?id=7520944266","  (1 page)")</f>
        <v>  (1 page)</v>
      </c>
    </row>
    <row r="371" spans="1:8" ht="12.75">
      <c r="A371" t="s">
        <v>6</v>
      </c>
      <c r="B371" s="4" t="s">
        <v>1142</v>
      </c>
      <c r="D371" t="s">
        <v>1070</v>
      </c>
      <c r="E371" t="s">
        <v>1109</v>
      </c>
      <c r="F371" t="s">
        <v>10</v>
      </c>
      <c r="G371" t="s">
        <v>11</v>
      </c>
      <c r="H371" s="1" t="str">
        <f>HYPERLINK("http://apps.fcc.gov/ecfs/document/view?id=7520944450","  (1 page)")</f>
        <v>  (1 page)</v>
      </c>
    </row>
    <row r="372" spans="1:8" ht="12.75">
      <c r="A372" t="s">
        <v>6</v>
      </c>
      <c r="B372" s="4" t="s">
        <v>491</v>
      </c>
      <c r="D372" t="s">
        <v>333</v>
      </c>
      <c r="E372" t="s">
        <v>333</v>
      </c>
      <c r="F372" t="s">
        <v>10</v>
      </c>
      <c r="G372" t="s">
        <v>11</v>
      </c>
      <c r="H372" s="1" t="str">
        <f>HYPERLINK("http://apps.fcc.gov/ecfs/document/view?id=7520943327","  (1 page)")</f>
        <v>  (1 page)</v>
      </c>
    </row>
    <row r="373" spans="1:8" ht="12.75">
      <c r="A373" t="s">
        <v>6</v>
      </c>
      <c r="B373" s="4" t="s">
        <v>931</v>
      </c>
      <c r="C373" t="s">
        <v>282</v>
      </c>
      <c r="D373" t="s">
        <v>21</v>
      </c>
      <c r="E373" t="s">
        <v>21</v>
      </c>
      <c r="F373" t="s">
        <v>10</v>
      </c>
      <c r="G373" t="s">
        <v>11</v>
      </c>
      <c r="H373" s="1" t="str">
        <f>HYPERLINK("http://apps.fcc.gov/ecfs/document/view?id=7520943858","  (1 page)")</f>
        <v>  (1 page)</v>
      </c>
    </row>
    <row r="374" spans="1:8" ht="12.75">
      <c r="A374" t="s">
        <v>6</v>
      </c>
      <c r="B374" s="4" t="s">
        <v>488</v>
      </c>
      <c r="D374" t="s">
        <v>333</v>
      </c>
      <c r="E374" t="s">
        <v>333</v>
      </c>
      <c r="F374" t="s">
        <v>10</v>
      </c>
      <c r="G374" t="s">
        <v>11</v>
      </c>
      <c r="H374" s="1" t="str">
        <f>HYPERLINK("http://apps.fcc.gov/ecfs/document/view?id=7520943330","  (1 page)")</f>
        <v>  (1 page)</v>
      </c>
    </row>
    <row r="375" spans="1:8" ht="12.75">
      <c r="A375" t="s">
        <v>6</v>
      </c>
      <c r="B375" s="4" t="s">
        <v>979</v>
      </c>
      <c r="C375" t="s">
        <v>545</v>
      </c>
      <c r="D375" t="s">
        <v>524</v>
      </c>
      <c r="E375" t="s">
        <v>333</v>
      </c>
      <c r="F375" t="s">
        <v>10</v>
      </c>
      <c r="G375" t="s">
        <v>11</v>
      </c>
      <c r="H375" s="1" t="str">
        <f>HYPERLINK("http://apps.fcc.gov/ecfs/document/view?id=7520943207","Commentary on E rate changes in PDF format (1 page)")</f>
        <v>Commentary on E rate changes in PDF format (1 page)</v>
      </c>
    </row>
    <row r="376" spans="1:8" ht="12.75">
      <c r="A376" t="s">
        <v>6</v>
      </c>
      <c r="B376" s="4" t="s">
        <v>487</v>
      </c>
      <c r="D376" t="s">
        <v>333</v>
      </c>
      <c r="E376" t="s">
        <v>333</v>
      </c>
      <c r="F376" t="s">
        <v>10</v>
      </c>
      <c r="G376" t="s">
        <v>11</v>
      </c>
      <c r="H376" s="1" t="str">
        <f>HYPERLINK("http://apps.fcc.gov/ecfs/document/view?id=7520943304","  (1 page)")</f>
        <v>  (1 page)</v>
      </c>
    </row>
    <row r="377" spans="1:8" ht="12.75">
      <c r="A377" t="s">
        <v>6</v>
      </c>
      <c r="B377" s="4" t="s">
        <v>486</v>
      </c>
      <c r="D377" t="s">
        <v>333</v>
      </c>
      <c r="E377" t="s">
        <v>333</v>
      </c>
      <c r="F377" t="s">
        <v>10</v>
      </c>
      <c r="G377" t="s">
        <v>11</v>
      </c>
      <c r="H377" s="1" t="str">
        <f>HYPERLINK("http://apps.fcc.gov/ecfs/document/view?id=7520943297","  (1 page)")</f>
        <v>  (1 page)</v>
      </c>
    </row>
    <row r="378" spans="1:8" ht="12.75">
      <c r="A378" t="s">
        <v>6</v>
      </c>
      <c r="B378" s="4" t="s">
        <v>1035</v>
      </c>
      <c r="C378" t="s">
        <v>596</v>
      </c>
      <c r="D378" t="s">
        <v>524</v>
      </c>
      <c r="E378" t="s">
        <v>524</v>
      </c>
      <c r="F378" t="s">
        <v>10</v>
      </c>
      <c r="G378" t="s">
        <v>11</v>
      </c>
      <c r="H378" s="1" t="str">
        <f>HYPERLINK("http://apps.fcc.gov/ecfs/document/view?id=7520943029","Comment (1 page)")</f>
        <v>Comment (1 page)</v>
      </c>
    </row>
    <row r="379" spans="1:8" ht="12.75">
      <c r="A379" t="s">
        <v>6</v>
      </c>
      <c r="B379" s="4" t="s">
        <v>912</v>
      </c>
      <c r="C379" t="s">
        <v>611</v>
      </c>
      <c r="D379" t="s">
        <v>598</v>
      </c>
      <c r="E379" t="s">
        <v>524</v>
      </c>
      <c r="F379" t="s">
        <v>10</v>
      </c>
      <c r="G379" t="s">
        <v>11</v>
      </c>
      <c r="H379" s="1" t="str">
        <f>HYPERLINK("http://apps.fcc.gov/ecfs/document/view?id=7520944446","  (1 page)")</f>
        <v>  (1 page)</v>
      </c>
    </row>
    <row r="380" spans="1:8" ht="12.75">
      <c r="A380" t="s">
        <v>6</v>
      </c>
      <c r="B380" s="4" t="s">
        <v>949</v>
      </c>
      <c r="C380" t="s">
        <v>454</v>
      </c>
      <c r="D380" t="s">
        <v>333</v>
      </c>
      <c r="E380" t="s">
        <v>333</v>
      </c>
      <c r="F380" t="s">
        <v>10</v>
      </c>
      <c r="G380" t="s">
        <v>11</v>
      </c>
      <c r="H380" s="1" t="str">
        <f>HYPERLINK("http://apps.fcc.gov/ecfs/document/view?id=7520943428","  (1 page)")</f>
        <v>  (1 page)</v>
      </c>
    </row>
    <row r="381" spans="1:8" ht="12.75">
      <c r="A381" t="s">
        <v>6</v>
      </c>
      <c r="B381" s="4" t="s">
        <v>224</v>
      </c>
      <c r="D381" t="s">
        <v>9</v>
      </c>
      <c r="E381" t="s">
        <v>9</v>
      </c>
      <c r="F381" t="s">
        <v>10</v>
      </c>
      <c r="G381" t="s">
        <v>11</v>
      </c>
      <c r="H381" s="1" t="str">
        <f>HYPERLINK("http://apps.fcc.gov/ecfs/document/view?id=7520944255","  (1 page)")</f>
        <v>  (1 page)</v>
      </c>
    </row>
    <row r="382" spans="1:8" ht="12.75">
      <c r="A382" t="s">
        <v>6</v>
      </c>
      <c r="B382" s="4" t="s">
        <v>222</v>
      </c>
      <c r="D382" t="s">
        <v>9</v>
      </c>
      <c r="E382" t="s">
        <v>9</v>
      </c>
      <c r="F382" t="s">
        <v>10</v>
      </c>
      <c r="G382" t="s">
        <v>11</v>
      </c>
      <c r="H382" s="1" t="str">
        <f>HYPERLINK("http://apps.fcc.gov/ecfs/document/view?id=7520944224","  (1 page)")</f>
        <v>  (1 page)</v>
      </c>
    </row>
    <row r="383" spans="1:8" ht="12.75">
      <c r="A383" t="s">
        <v>6</v>
      </c>
      <c r="B383" s="4" t="s">
        <v>522</v>
      </c>
      <c r="D383" t="s">
        <v>333</v>
      </c>
      <c r="E383" t="s">
        <v>333</v>
      </c>
      <c r="F383" t="s">
        <v>10</v>
      </c>
      <c r="G383" t="s">
        <v>11</v>
      </c>
      <c r="H383" s="1" t="str">
        <f>HYPERLINK("http://apps.fcc.gov/ecfs/document/view?id=7520943269","  (1 page)")</f>
        <v>  (1 page)</v>
      </c>
    </row>
    <row r="384" spans="1:8" ht="12.75">
      <c r="A384" t="s">
        <v>6</v>
      </c>
      <c r="B384" s="4" t="s">
        <v>863</v>
      </c>
      <c r="C384" t="s">
        <v>82</v>
      </c>
      <c r="D384" t="s">
        <v>21</v>
      </c>
      <c r="E384" t="s">
        <v>9</v>
      </c>
      <c r="F384" t="s">
        <v>10</v>
      </c>
      <c r="G384" t="s">
        <v>11</v>
      </c>
      <c r="H384" s="1" t="str">
        <f>HYPERLINK("http://apps.fcc.gov/ecfs/document/view?id=7520944123","  (1 page)")</f>
        <v>  (1 page)</v>
      </c>
    </row>
    <row r="385" spans="1:12" ht="12.75">
      <c r="A385" t="s">
        <v>6</v>
      </c>
      <c r="B385" s="4" t="s">
        <v>981</v>
      </c>
      <c r="C385" t="s">
        <v>580</v>
      </c>
      <c r="D385" t="s">
        <v>524</v>
      </c>
      <c r="E385" t="s">
        <v>524</v>
      </c>
      <c r="F385" t="s">
        <v>10</v>
      </c>
      <c r="G385" t="s">
        <v>11</v>
      </c>
      <c r="H385" s="1" t="str">
        <f>HYPERLINK("http://apps.fcc.gov/ecfs/document/view?id=7520943101","Clay County School System comment on E Rate NPRM (1 page)")</f>
        <v>Clay County School System comment on E Rate NPRM (1 page)</v>
      </c>
      <c r="L385" s="12" t="str">
        <f>HYPERLINK("http://www.e-ratecentral.com/FCC/ERate20NPRMComments/pdf/ClayCountyAL_NPRM_comments_9-16-2013.pdf","Clay County School System (1 pages)")</f>
        <v>Clay County School System (1 pages)</v>
      </c>
    </row>
    <row r="386" spans="1:8" ht="12.75">
      <c r="A386" t="s">
        <v>6</v>
      </c>
      <c r="B386" s="4" t="s">
        <v>1046</v>
      </c>
      <c r="C386" t="s">
        <v>501</v>
      </c>
      <c r="D386" t="s">
        <v>333</v>
      </c>
      <c r="E386" t="s">
        <v>333</v>
      </c>
      <c r="F386" t="s">
        <v>10</v>
      </c>
      <c r="G386" t="s">
        <v>11</v>
      </c>
      <c r="H386" s="1" t="str">
        <f>HYPERLINK("http://apps.fcc.gov/ecfs/document/view?id=7520943409","  (1 page)")</f>
        <v>  (1 page)</v>
      </c>
    </row>
    <row r="387" spans="1:8" ht="12.75">
      <c r="A387" t="s">
        <v>6</v>
      </c>
      <c r="B387" s="4" t="s">
        <v>1146</v>
      </c>
      <c r="C387" t="s">
        <v>1113</v>
      </c>
      <c r="D387" t="s">
        <v>1109</v>
      </c>
      <c r="E387" t="s">
        <v>1109</v>
      </c>
      <c r="F387" t="s">
        <v>10</v>
      </c>
      <c r="G387" t="s">
        <v>11</v>
      </c>
      <c r="H387" s="1" t="str">
        <f>HYPERLINK("http://apps.fcc.gov/ecfs/document/view?id=7520944716","  (1 page)")</f>
        <v>  (1 page)</v>
      </c>
    </row>
    <row r="388" spans="1:8" ht="12.75">
      <c r="A388" t="s">
        <v>6</v>
      </c>
      <c r="B388" s="4" t="s">
        <v>1064</v>
      </c>
      <c r="D388" t="s">
        <v>652</v>
      </c>
      <c r="E388" t="s">
        <v>598</v>
      </c>
      <c r="F388" t="s">
        <v>10</v>
      </c>
      <c r="G388" t="s">
        <v>11</v>
      </c>
      <c r="H388" s="1" t="str">
        <f>HYPERLINK("http://apps.fcc.gov/ecfs/document/view?id=7520942841"," (1 page)")</f>
        <v> (1 page)</v>
      </c>
    </row>
    <row r="389" spans="1:8" ht="12.75">
      <c r="A389" t="s">
        <v>6</v>
      </c>
      <c r="B389" s="4" t="s">
        <v>624</v>
      </c>
      <c r="D389" t="s">
        <v>598</v>
      </c>
      <c r="E389" t="s">
        <v>524</v>
      </c>
      <c r="F389" t="s">
        <v>10</v>
      </c>
      <c r="G389" t="s">
        <v>11</v>
      </c>
      <c r="H389" s="1" t="str">
        <f>HYPERLINK("http://apps.fcc.gov/ecfs/document/view?id=7520942943","Clinton USD Comment on MPRM Changes to Email and Web Hosting (1 page)")</f>
        <v>Clinton USD Comment on MPRM Changes to Email and Web Hosting (1 page)</v>
      </c>
    </row>
    <row r="390" spans="1:8" ht="12.75">
      <c r="A390" t="s">
        <v>6</v>
      </c>
      <c r="B390" s="4" t="s">
        <v>861</v>
      </c>
      <c r="C390" t="s">
        <v>413</v>
      </c>
      <c r="D390" t="s">
        <v>333</v>
      </c>
      <c r="E390" t="s">
        <v>333</v>
      </c>
      <c r="F390" t="s">
        <v>10</v>
      </c>
      <c r="G390" t="s">
        <v>11</v>
      </c>
      <c r="H390" s="1" t="str">
        <f>HYPERLINK("http://apps.fcc.gov/ecfs/document/view?id=7520943385","  (1 page)")</f>
        <v>  (1 page)</v>
      </c>
    </row>
    <row r="391" spans="1:8" ht="12.75">
      <c r="A391" t="s">
        <v>6</v>
      </c>
      <c r="B391" s="4" t="s">
        <v>954</v>
      </c>
      <c r="C391" t="s">
        <v>617</v>
      </c>
      <c r="D391" t="s">
        <v>598</v>
      </c>
      <c r="E391" t="s">
        <v>524</v>
      </c>
      <c r="F391" t="s">
        <v>10</v>
      </c>
      <c r="G391" t="s">
        <v>11</v>
      </c>
      <c r="H391" s="1" t="str">
        <f>HYPERLINK("http://apps.fcc.gov/ecfs/document/view?id=7520942990","Coeur d Alene School District Comments (1 page)")</f>
        <v>Coeur d Alene School District Comments (1 page)</v>
      </c>
    </row>
    <row r="392" spans="1:8" ht="12.75">
      <c r="A392" t="s">
        <v>6</v>
      </c>
      <c r="B392" s="4" t="s">
        <v>997</v>
      </c>
      <c r="C392" t="s">
        <v>473</v>
      </c>
      <c r="D392" t="s">
        <v>333</v>
      </c>
      <c r="E392" t="s">
        <v>333</v>
      </c>
      <c r="F392" t="s">
        <v>10</v>
      </c>
      <c r="G392" t="s">
        <v>11</v>
      </c>
      <c r="H392" s="1" t="str">
        <f>HYPERLINK("http://apps.fcc.gov/ecfs/document/view?id=7520943435","  (1 page)")</f>
        <v>  (1 page)</v>
      </c>
    </row>
    <row r="393" spans="1:8" ht="12.75">
      <c r="A393" t="s">
        <v>6</v>
      </c>
      <c r="B393" s="4" t="s">
        <v>929</v>
      </c>
      <c r="C393" t="s">
        <v>146</v>
      </c>
      <c r="D393" t="s">
        <v>21</v>
      </c>
      <c r="E393" t="s">
        <v>9</v>
      </c>
      <c r="F393" t="s">
        <v>10</v>
      </c>
      <c r="G393" t="s">
        <v>11</v>
      </c>
      <c r="H393" s="1" t="str">
        <f>HYPERLINK("http://apps.fcc.gov/ecfs/document/view?id=7520944063","  (1 page)")</f>
        <v>  (1 page)</v>
      </c>
    </row>
    <row r="394" spans="1:8" ht="12.75">
      <c r="A394" t="s">
        <v>6</v>
      </c>
      <c r="B394" s="4" t="s">
        <v>695</v>
      </c>
      <c r="D394" t="s">
        <v>673</v>
      </c>
      <c r="E394" t="s">
        <v>673</v>
      </c>
      <c r="F394" t="s">
        <v>10</v>
      </c>
      <c r="G394" t="s">
        <v>11</v>
      </c>
      <c r="H394" s="1" t="str">
        <f>HYPERLINK("http://apps.fcc.gov/ecfs/document/view?id=7520942517"," (1 page)")</f>
        <v> (1 page)</v>
      </c>
    </row>
    <row r="395" spans="1:8" ht="12.75">
      <c r="A395" t="s">
        <v>6</v>
      </c>
      <c r="B395" s="4" t="s">
        <v>549</v>
      </c>
      <c r="D395" t="s">
        <v>524</v>
      </c>
      <c r="E395" t="s">
        <v>333</v>
      </c>
      <c r="F395" t="s">
        <v>10</v>
      </c>
      <c r="G395" t="s">
        <v>11</v>
      </c>
      <c r="H395" s="1" t="str">
        <f>HYPERLINK("http://apps.fcc.gov/ecfs/document/view?id=7520943185"," (1 page)")</f>
        <v> (1 page)</v>
      </c>
    </row>
    <row r="396" spans="1:8" ht="12.75">
      <c r="A396" t="s">
        <v>6</v>
      </c>
      <c r="B396" s="4" t="s">
        <v>1021</v>
      </c>
      <c r="C396" t="s">
        <v>625</v>
      </c>
      <c r="D396" t="s">
        <v>524</v>
      </c>
      <c r="E396" t="s">
        <v>524</v>
      </c>
      <c r="F396" t="s">
        <v>10</v>
      </c>
      <c r="G396" t="s">
        <v>11</v>
      </c>
      <c r="H396" s="1" t="str">
        <f>HYPERLINK("http://apps.fcc.gov/ecfs/document/view?id=7520943017","Comment on E Rate NPRM (1 page)")</f>
        <v>Comment on E Rate NPRM (1 page)</v>
      </c>
    </row>
    <row r="397" spans="1:8" ht="12.75">
      <c r="A397" t="s">
        <v>6</v>
      </c>
      <c r="B397" s="4" t="s">
        <v>379</v>
      </c>
      <c r="D397" t="s">
        <v>333</v>
      </c>
      <c r="E397" t="s">
        <v>21</v>
      </c>
      <c r="F397" t="s">
        <v>10</v>
      </c>
      <c r="G397" t="s">
        <v>11</v>
      </c>
      <c r="H397" s="1" t="str">
        <f>HYPERLINK("http://apps.fcc.gov/ecfs/document/view?id=7520943459","  (1 page)")</f>
        <v>  (1 page)</v>
      </c>
    </row>
    <row r="398" spans="1:8" ht="12.75">
      <c r="A398" t="s">
        <v>6</v>
      </c>
      <c r="B398" s="4" t="s">
        <v>898</v>
      </c>
      <c r="C398" t="s">
        <v>358</v>
      </c>
      <c r="D398" t="s">
        <v>21</v>
      </c>
      <c r="E398" t="s">
        <v>21</v>
      </c>
      <c r="F398" t="s">
        <v>10</v>
      </c>
      <c r="G398" t="s">
        <v>11</v>
      </c>
      <c r="H398" s="1" t="str">
        <f>HYPERLINK("http://apps.fcc.gov/ecfs/document/view?id=7520943712"," (1 page)")</f>
        <v> (1 page)</v>
      </c>
    </row>
    <row r="399" spans="1:8" ht="12.75">
      <c r="A399" t="s">
        <v>6</v>
      </c>
      <c r="B399" s="4" t="s">
        <v>889</v>
      </c>
      <c r="C399" t="s">
        <v>316</v>
      </c>
      <c r="D399" t="s">
        <v>21</v>
      </c>
      <c r="E399" t="s">
        <v>21</v>
      </c>
      <c r="F399" t="s">
        <v>10</v>
      </c>
      <c r="G399" t="s">
        <v>11</v>
      </c>
      <c r="H399" s="1" t="str">
        <f>HYPERLINK("http://apps.fcc.gov/ecfs/document/view?id=7520943783"," (1 page)")</f>
        <v> (1 page)</v>
      </c>
    </row>
    <row r="400" spans="1:8" ht="12.75">
      <c r="A400" t="s">
        <v>6</v>
      </c>
      <c r="B400" s="4" t="s">
        <v>960</v>
      </c>
      <c r="C400" t="s">
        <v>303</v>
      </c>
      <c r="D400" t="s">
        <v>21</v>
      </c>
      <c r="E400" t="s">
        <v>21</v>
      </c>
      <c r="F400" t="s">
        <v>10</v>
      </c>
      <c r="G400" t="s">
        <v>11</v>
      </c>
      <c r="H400" s="1" t="str">
        <f>HYPERLINK("http://apps.fcc.gov/ecfs/document/view?id=7520943805","  (1 page)")</f>
        <v>  (1 page)</v>
      </c>
    </row>
    <row r="401" spans="1:9" ht="12.75">
      <c r="A401" t="s">
        <v>6</v>
      </c>
      <c r="B401" s="4" t="s">
        <v>1038</v>
      </c>
      <c r="C401" s="4" t="s">
        <v>1156</v>
      </c>
      <c r="D401" t="s">
        <v>685</v>
      </c>
      <c r="E401" t="s">
        <v>685</v>
      </c>
      <c r="F401" t="s">
        <v>10</v>
      </c>
      <c r="G401" t="s">
        <v>11</v>
      </c>
      <c r="H401" s="1" t="str">
        <f>HYPERLINK("http://apps.fcc.gov/ecfs/document/view?id=7520942231","Cullman County School District comment on E Rate NPRM (1 page)")</f>
        <v>Cullman County School District comment on E Rate NPRM (1 page)</v>
      </c>
      <c r="I401" s="1" t="str">
        <f>HYPERLINK("http://apps.fcc.gov/ecfs/document/view?id=7520944429","  (1 page)")</f>
        <v>  (1 page)</v>
      </c>
    </row>
    <row r="402" spans="1:8" ht="12.75">
      <c r="A402" t="s">
        <v>6</v>
      </c>
      <c r="B402" s="4" t="s">
        <v>731</v>
      </c>
      <c r="D402" t="s">
        <v>717</v>
      </c>
      <c r="E402" t="s">
        <v>717</v>
      </c>
      <c r="F402" t="s">
        <v>10</v>
      </c>
      <c r="G402" t="s">
        <v>11</v>
      </c>
      <c r="H402" s="1" t="str">
        <f>HYPERLINK("http://apps.fcc.gov/ecfs/document/view?id=7520940444","  (1 page)")</f>
        <v>  (1 page)</v>
      </c>
    </row>
    <row r="403" spans="1:8" ht="12.75">
      <c r="A403" t="s">
        <v>6</v>
      </c>
      <c r="B403" s="4" t="s">
        <v>1141</v>
      </c>
      <c r="D403" t="s">
        <v>1070</v>
      </c>
      <c r="E403" t="s">
        <v>1109</v>
      </c>
      <c r="F403" t="s">
        <v>10</v>
      </c>
      <c r="G403" t="s">
        <v>11</v>
      </c>
      <c r="H403" s="1" t="str">
        <f>HYPERLINK("http://apps.fcc.gov/ecfs/document/view?id=7520944462","  (1 page)")</f>
        <v>  (1 page)</v>
      </c>
    </row>
    <row r="404" spans="1:8" ht="12.75">
      <c r="A404" t="s">
        <v>6</v>
      </c>
      <c r="B404" s="4" t="s">
        <v>485</v>
      </c>
      <c r="D404" t="s">
        <v>333</v>
      </c>
      <c r="E404" t="s">
        <v>333</v>
      </c>
      <c r="F404" t="s">
        <v>10</v>
      </c>
      <c r="G404" t="s">
        <v>11</v>
      </c>
      <c r="H404" s="1" t="str">
        <f>HYPERLINK("http://apps.fcc.gov/ecfs/document/view?id=7520943281","  (1 page)")</f>
        <v>  (1 page)</v>
      </c>
    </row>
    <row r="405" spans="1:12" ht="12.75">
      <c r="A405" t="s">
        <v>6</v>
      </c>
      <c r="B405" s="4" t="s">
        <v>583</v>
      </c>
      <c r="D405" t="s">
        <v>524</v>
      </c>
      <c r="E405" t="s">
        <v>524</v>
      </c>
      <c r="F405" t="s">
        <v>10</v>
      </c>
      <c r="G405" t="s">
        <v>11</v>
      </c>
      <c r="H405" s="1" t="str">
        <f>HYPERLINK("http://apps.fcc.gov/ecfs/document/view?id=7520943040","  (1 page)")</f>
        <v>  (1 page)</v>
      </c>
      <c r="L405" s="12" t="str">
        <f>HYPERLINK("http://www.e-ratecentral.com/FCC/ERate20NPRMComments/pdf/DallasCountyMO_NPRM_Comments_9-16-2013.pdf","Dallas County R-1 Schools (1 pages)")</f>
        <v>Dallas County R-1 Schools (1 pages)</v>
      </c>
    </row>
    <row r="406" spans="1:8" ht="12.75">
      <c r="A406" t="s">
        <v>6</v>
      </c>
      <c r="B406" s="4" t="s">
        <v>658</v>
      </c>
      <c r="D406" t="s">
        <v>598</v>
      </c>
      <c r="E406" t="s">
        <v>598</v>
      </c>
      <c r="F406" t="s">
        <v>10</v>
      </c>
      <c r="G406" t="s">
        <v>11</v>
      </c>
      <c r="H406" s="1" t="str">
        <f>HYPERLINK("http://apps.fcc.gov/ecfs/document/view?id=7520942866"," (1 page)")</f>
        <v> (1 page)</v>
      </c>
    </row>
    <row r="407" spans="1:8" ht="12.75">
      <c r="A407" t="s">
        <v>6</v>
      </c>
      <c r="B407" s="4" t="s">
        <v>484</v>
      </c>
      <c r="D407" t="s">
        <v>333</v>
      </c>
      <c r="E407" t="s">
        <v>333</v>
      </c>
      <c r="F407" t="s">
        <v>10</v>
      </c>
      <c r="G407" t="s">
        <v>11</v>
      </c>
      <c r="H407" s="1" t="str">
        <f>HYPERLINK("http://apps.fcc.gov/ecfs/document/view?id=7520943316","  (1 page)")</f>
        <v>  (1 page)</v>
      </c>
    </row>
    <row r="408" spans="1:8" ht="12.75">
      <c r="A408" t="s">
        <v>6</v>
      </c>
      <c r="B408" s="4" t="s">
        <v>582</v>
      </c>
      <c r="D408" t="s">
        <v>524</v>
      </c>
      <c r="E408" t="s">
        <v>524</v>
      </c>
      <c r="F408" t="s">
        <v>10</v>
      </c>
      <c r="G408" t="s">
        <v>11</v>
      </c>
      <c r="H408" s="1" t="str">
        <f>HYPERLINK("http://apps.fcc.gov/ecfs/document/view?id=7520943061","  (1 page)")</f>
        <v>  (1 page)</v>
      </c>
    </row>
    <row r="409" spans="1:8" ht="12.75">
      <c r="A409" t="s">
        <v>6</v>
      </c>
      <c r="B409" s="4" t="s">
        <v>581</v>
      </c>
      <c r="D409" t="s">
        <v>524</v>
      </c>
      <c r="E409" t="s">
        <v>524</v>
      </c>
      <c r="F409" t="s">
        <v>10</v>
      </c>
      <c r="G409" t="s">
        <v>11</v>
      </c>
      <c r="H409" s="1" t="str">
        <f>HYPERLINK("http://apps.fcc.gov/ecfs/document/view?id=7520943074"," (1 page)")</f>
        <v> (1 page)</v>
      </c>
    </row>
    <row r="410" spans="1:8" ht="12.75">
      <c r="A410" t="s">
        <v>6</v>
      </c>
      <c r="B410" s="4" t="s">
        <v>482</v>
      </c>
      <c r="D410" t="s">
        <v>333</v>
      </c>
      <c r="E410" t="s">
        <v>333</v>
      </c>
      <c r="F410" t="s">
        <v>10</v>
      </c>
      <c r="G410" t="s">
        <v>11</v>
      </c>
      <c r="H410" s="1" t="str">
        <f>HYPERLINK("http://apps.fcc.gov/ecfs/document/view?id=7520943333","  (1 page)")</f>
        <v>  (1 page)</v>
      </c>
    </row>
    <row r="411" spans="1:8" ht="12.75">
      <c r="A411" t="s">
        <v>6</v>
      </c>
      <c r="B411" s="4" t="s">
        <v>200</v>
      </c>
      <c r="D411" t="s">
        <v>9</v>
      </c>
      <c r="E411" t="s">
        <v>9</v>
      </c>
      <c r="F411" t="s">
        <v>10</v>
      </c>
      <c r="G411" t="s">
        <v>11</v>
      </c>
      <c r="H411" s="1" t="str">
        <f>HYPERLINK("http://apps.fcc.gov/ecfs/document/view?id=7520944228","  (1 page)")</f>
        <v>  (1 page)</v>
      </c>
    </row>
    <row r="412" spans="1:8" ht="12.75">
      <c r="A412" t="s">
        <v>6</v>
      </c>
      <c r="B412" s="4" t="s">
        <v>480</v>
      </c>
      <c r="D412" t="s">
        <v>333</v>
      </c>
      <c r="E412" t="s">
        <v>333</v>
      </c>
      <c r="F412" t="s">
        <v>10</v>
      </c>
      <c r="G412" t="s">
        <v>11</v>
      </c>
      <c r="H412" s="1" t="str">
        <f>HYPERLINK("http://apps.fcc.gov/ecfs/document/view?id=7520943394","  (1 page)")</f>
        <v>  (1 page)</v>
      </c>
    </row>
    <row r="413" spans="1:8" ht="12.75">
      <c r="A413" t="s">
        <v>6</v>
      </c>
      <c r="B413" s="4" t="s">
        <v>479</v>
      </c>
      <c r="D413" t="s">
        <v>333</v>
      </c>
      <c r="E413" t="s">
        <v>333</v>
      </c>
      <c r="F413" t="s">
        <v>10</v>
      </c>
      <c r="G413" t="s">
        <v>11</v>
      </c>
      <c r="H413" s="1" t="str">
        <f>HYPERLINK("http://apps.fcc.gov/ecfs/document/view?id=7520943317","  (1 page)")</f>
        <v>  (1 page)</v>
      </c>
    </row>
    <row r="414" spans="1:8" ht="12.75">
      <c r="A414" t="s">
        <v>6</v>
      </c>
      <c r="B414" s="4" t="s">
        <v>713</v>
      </c>
      <c r="C414" t="s">
        <v>712</v>
      </c>
      <c r="D414" t="s">
        <v>707</v>
      </c>
      <c r="E414" t="s">
        <v>707</v>
      </c>
      <c r="F414" t="s">
        <v>10</v>
      </c>
      <c r="G414" t="s">
        <v>11</v>
      </c>
      <c r="H414" s="1" t="str">
        <f>HYPERLINK("http://apps.fcc.gov/ecfs/document/view?id=7520941335","  (1 page)")</f>
        <v>  (1 page)</v>
      </c>
    </row>
    <row r="415" spans="1:8" ht="12.75">
      <c r="A415" t="s">
        <v>6</v>
      </c>
      <c r="B415" s="4" t="s">
        <v>520</v>
      </c>
      <c r="D415" t="s">
        <v>333</v>
      </c>
      <c r="E415" t="s">
        <v>333</v>
      </c>
      <c r="F415" t="s">
        <v>10</v>
      </c>
      <c r="G415" t="s">
        <v>11</v>
      </c>
      <c r="H415" s="1" t="str">
        <f>HYPERLINK("http://apps.fcc.gov/ecfs/document/view?id=7520943261","  (1 page)")</f>
        <v>  (1 page)</v>
      </c>
    </row>
    <row r="416" spans="1:8" ht="12.75">
      <c r="A416" t="s">
        <v>6</v>
      </c>
      <c r="B416" s="4" t="s">
        <v>478</v>
      </c>
      <c r="D416" t="s">
        <v>333</v>
      </c>
      <c r="E416" t="s">
        <v>333</v>
      </c>
      <c r="F416" t="s">
        <v>10</v>
      </c>
      <c r="G416" t="s">
        <v>11</v>
      </c>
      <c r="H416" s="1" t="str">
        <f>HYPERLINK("http://apps.fcc.gov/ecfs/document/view?id=7520943396","  (1 page)")</f>
        <v>  (1 page)</v>
      </c>
    </row>
    <row r="417" spans="1:8" ht="12.75">
      <c r="A417" t="s">
        <v>6</v>
      </c>
      <c r="B417" s="4" t="s">
        <v>1027</v>
      </c>
      <c r="C417" t="s">
        <v>492</v>
      </c>
      <c r="D417" t="s">
        <v>333</v>
      </c>
      <c r="E417" t="s">
        <v>333</v>
      </c>
      <c r="F417" t="s">
        <v>10</v>
      </c>
      <c r="G417" t="s">
        <v>11</v>
      </c>
      <c r="H417" s="1" t="str">
        <f>HYPERLINK("http://apps.fcc.gov/ecfs/document/view?id=7520943283","  (1 page)")</f>
        <v>  (1 page)</v>
      </c>
    </row>
    <row r="418" spans="1:8" ht="12.75">
      <c r="A418" t="s">
        <v>6</v>
      </c>
      <c r="B418" s="4" t="s">
        <v>914</v>
      </c>
      <c r="C418" t="s">
        <v>362</v>
      </c>
      <c r="D418" t="s">
        <v>21</v>
      </c>
      <c r="E418" t="s">
        <v>21</v>
      </c>
      <c r="F418" t="s">
        <v>10</v>
      </c>
      <c r="G418" t="s">
        <v>11</v>
      </c>
      <c r="H418" s="1" t="str">
        <f>HYPERLINK("http://apps.fcc.gov/ecfs/document/view?id=7520943621"," (1 page)")</f>
        <v> (1 page)</v>
      </c>
    </row>
    <row r="419" spans="1:8" ht="12.75">
      <c r="A419" t="s">
        <v>6</v>
      </c>
      <c r="B419" s="4" t="s">
        <v>476</v>
      </c>
      <c r="D419" t="s">
        <v>333</v>
      </c>
      <c r="E419" t="s">
        <v>333</v>
      </c>
      <c r="F419" t="s">
        <v>10</v>
      </c>
      <c r="G419" t="s">
        <v>11</v>
      </c>
      <c r="H419" s="1" t="str">
        <f>HYPERLINK("http://apps.fcc.gov/ecfs/document/view?id=7520943302","  (1 page)")</f>
        <v>  (1 page)</v>
      </c>
    </row>
    <row r="420" spans="1:8" ht="12.75">
      <c r="A420" t="s">
        <v>6</v>
      </c>
      <c r="B420" s="4" t="s">
        <v>475</v>
      </c>
      <c r="D420" t="s">
        <v>333</v>
      </c>
      <c r="E420" t="s">
        <v>333</v>
      </c>
      <c r="F420" t="s">
        <v>10</v>
      </c>
      <c r="G420" t="s">
        <v>11</v>
      </c>
      <c r="H420" s="1" t="str">
        <f>HYPERLINK("http://apps.fcc.gov/ecfs/document/view?id=7520943419","  (1 page)")</f>
        <v>  (1 page)</v>
      </c>
    </row>
    <row r="421" spans="1:8" ht="12.75">
      <c r="A421" t="s">
        <v>6</v>
      </c>
      <c r="B421" s="4" t="s">
        <v>1139</v>
      </c>
      <c r="D421" t="s">
        <v>1070</v>
      </c>
      <c r="E421" t="s">
        <v>1109</v>
      </c>
      <c r="F421" t="s">
        <v>10</v>
      </c>
      <c r="G421" t="s">
        <v>11</v>
      </c>
      <c r="H421" s="1" t="str">
        <f>HYPERLINK("http://apps.fcc.gov/ecfs/document/view?id=7520944449","  (1 page)")</f>
        <v>  (1 page)</v>
      </c>
    </row>
    <row r="422" spans="1:8" ht="12.75">
      <c r="A422" t="s">
        <v>6</v>
      </c>
      <c r="B422" s="4" t="s">
        <v>897</v>
      </c>
      <c r="C422" t="s">
        <v>429</v>
      </c>
      <c r="D422" t="s">
        <v>333</v>
      </c>
      <c r="E422" t="s">
        <v>333</v>
      </c>
      <c r="F422" t="s">
        <v>10</v>
      </c>
      <c r="G422" t="s">
        <v>11</v>
      </c>
      <c r="H422" s="1" t="str">
        <f>HYPERLINK("http://apps.fcc.gov/ecfs/document/view?id=7520943390","Response to E Rate Funding (1 page)")</f>
        <v>Response to E Rate Funding (1 page)</v>
      </c>
    </row>
    <row r="423" spans="1:8" ht="12.75">
      <c r="A423" t="s">
        <v>6</v>
      </c>
      <c r="B423" s="4" t="s">
        <v>623</v>
      </c>
      <c r="D423" t="s">
        <v>524</v>
      </c>
      <c r="E423" t="s">
        <v>524</v>
      </c>
      <c r="F423" t="s">
        <v>10</v>
      </c>
      <c r="G423" t="s">
        <v>11</v>
      </c>
      <c r="H423" s="1" t="str">
        <f>HYPERLINK("http://apps.fcc.gov/ecfs/document/view?id=7520943008","  (1 page)")</f>
        <v>  (1 page)</v>
      </c>
    </row>
    <row r="424" spans="1:8" ht="12.75">
      <c r="A424" t="s">
        <v>6</v>
      </c>
      <c r="B424" s="4" t="s">
        <v>955</v>
      </c>
      <c r="C424" t="s">
        <v>460</v>
      </c>
      <c r="D424" t="s">
        <v>333</v>
      </c>
      <c r="E424" t="s">
        <v>333</v>
      </c>
      <c r="F424" t="s">
        <v>10</v>
      </c>
      <c r="G424" t="s">
        <v>11</v>
      </c>
      <c r="H424" s="1" t="str">
        <f>HYPERLINK("http://apps.fcc.gov/ecfs/document/view?id=7520943315","  (1 page)")</f>
        <v>  (1 page)</v>
      </c>
    </row>
    <row r="425" spans="1:12" ht="12.75">
      <c r="A425" t="s">
        <v>6</v>
      </c>
      <c r="B425" s="4" t="s">
        <v>472</v>
      </c>
      <c r="D425" t="s">
        <v>333</v>
      </c>
      <c r="E425" t="s">
        <v>333</v>
      </c>
      <c r="F425" t="s">
        <v>10</v>
      </c>
      <c r="G425" t="s">
        <v>11</v>
      </c>
      <c r="H425" s="1" t="str">
        <f>HYPERLINK("http://apps.fcc.gov/ecfs/document/view?id=7520943349","  (1 page)")</f>
        <v>  (1 page)</v>
      </c>
      <c r="L425" s="12" t="str">
        <f>HYPERLINK("http://www.e-ratecentral.com/FCC/ERate20NPRMComments/pdf/DuvallCoSD_NPRM_Comments_9-16-2013.pdf","Duval County Public Schools (1 pages)")</f>
        <v>Duval County Public Schools (1 pages)</v>
      </c>
    </row>
    <row r="426" spans="1:8" ht="12.75">
      <c r="A426" t="s">
        <v>6</v>
      </c>
      <c r="B426" s="4" t="s">
        <v>780</v>
      </c>
      <c r="D426" t="s">
        <v>770</v>
      </c>
      <c r="E426" t="s">
        <v>768</v>
      </c>
      <c r="F426" t="s">
        <v>10</v>
      </c>
      <c r="G426" t="s">
        <v>11</v>
      </c>
      <c r="H426" s="1" t="str">
        <f>HYPERLINK("http://apps.fcc.gov/ecfs/document/view?id=7520938098"," (1 page)")</f>
        <v> (1 page)</v>
      </c>
    </row>
    <row r="427" spans="1:8" ht="12.75">
      <c r="A427" t="s">
        <v>6</v>
      </c>
      <c r="B427" s="4" t="s">
        <v>519</v>
      </c>
      <c r="D427" t="s">
        <v>333</v>
      </c>
      <c r="E427" t="s">
        <v>333</v>
      </c>
      <c r="F427" t="s">
        <v>10</v>
      </c>
      <c r="G427" t="s">
        <v>11</v>
      </c>
      <c r="H427" s="1" t="str">
        <f>HYPERLINK("http://apps.fcc.gov/ecfs/document/view?id=7520943255","  (1 page)")</f>
        <v>  (1 page)</v>
      </c>
    </row>
    <row r="428" spans="1:8" ht="12.75">
      <c r="A428" t="s">
        <v>6</v>
      </c>
      <c r="B428" s="4" t="s">
        <v>891</v>
      </c>
      <c r="C428" t="s">
        <v>735</v>
      </c>
      <c r="D428" t="s">
        <v>728</v>
      </c>
      <c r="E428" t="s">
        <v>728</v>
      </c>
      <c r="F428" t="s">
        <v>10</v>
      </c>
      <c r="G428" t="s">
        <v>11</v>
      </c>
      <c r="H428" s="1" t="str">
        <f>HYPERLINK("http://apps.fcc.gov/ecfs/document/view?id=7520940292","survey response (1 page)")</f>
        <v>survey response (1 page)</v>
      </c>
    </row>
    <row r="429" spans="1:8" ht="12.75">
      <c r="A429" t="s">
        <v>6</v>
      </c>
      <c r="B429" s="4" t="s">
        <v>471</v>
      </c>
      <c r="D429" t="s">
        <v>333</v>
      </c>
      <c r="E429" t="s">
        <v>333</v>
      </c>
      <c r="F429" t="s">
        <v>10</v>
      </c>
      <c r="G429" t="s">
        <v>11</v>
      </c>
      <c r="H429" s="1" t="str">
        <f>HYPERLINK("http://apps.fcc.gov/ecfs/document/view?id=7520943301","  (1 page)")</f>
        <v>  (1 page)</v>
      </c>
    </row>
    <row r="430" spans="1:8" ht="12.75">
      <c r="A430" t="s">
        <v>6</v>
      </c>
      <c r="B430" s="4" t="s">
        <v>657</v>
      </c>
      <c r="D430" t="s">
        <v>598</v>
      </c>
      <c r="E430" t="s">
        <v>598</v>
      </c>
      <c r="F430" t="s">
        <v>10</v>
      </c>
      <c r="G430" t="s">
        <v>11</v>
      </c>
      <c r="H430" s="1" t="str">
        <f>HYPERLINK("http://apps.fcc.gov/ecfs/document/view?id=7520942871"," (1 page)")</f>
        <v> (1 page)</v>
      </c>
    </row>
    <row r="431" spans="1:8" ht="12.75">
      <c r="A431" t="s">
        <v>6</v>
      </c>
      <c r="B431" s="4" t="s">
        <v>470</v>
      </c>
      <c r="D431" t="s">
        <v>333</v>
      </c>
      <c r="E431" t="s">
        <v>333</v>
      </c>
      <c r="F431" t="s">
        <v>10</v>
      </c>
      <c r="G431" t="s">
        <v>11</v>
      </c>
      <c r="H431" s="1" t="str">
        <f>HYPERLINK("http://apps.fcc.gov/ecfs/document/view?id=7520943422","  (1 page)")</f>
        <v>  (1 page)</v>
      </c>
    </row>
    <row r="432" spans="1:8" ht="12.75">
      <c r="A432" t="s">
        <v>6</v>
      </c>
      <c r="B432" s="4" t="s">
        <v>937</v>
      </c>
      <c r="C432" t="s">
        <v>574</v>
      </c>
      <c r="D432" t="s">
        <v>524</v>
      </c>
      <c r="E432" t="s">
        <v>524</v>
      </c>
      <c r="F432" t="s">
        <v>10</v>
      </c>
      <c r="G432" t="s">
        <v>11</v>
      </c>
      <c r="H432" s="1" t="str">
        <f>HYPERLINK("http://apps.fcc.gov/ecfs/document/view?id=7520943073"," (1 page)")</f>
        <v> (1 page)</v>
      </c>
    </row>
    <row r="433" spans="1:8" ht="12.75">
      <c r="A433" t="s">
        <v>6</v>
      </c>
      <c r="B433" s="4" t="s">
        <v>592</v>
      </c>
      <c r="D433" t="s">
        <v>524</v>
      </c>
      <c r="E433" t="s">
        <v>524</v>
      </c>
      <c r="F433" t="s">
        <v>10</v>
      </c>
      <c r="G433" t="s">
        <v>11</v>
      </c>
      <c r="H433" s="1" t="str">
        <f>HYPERLINK("http://apps.fcc.gov/ecfs/document/view?id=7520943035","FCC Comment (1 page)")</f>
        <v>FCC Comment (1 page)</v>
      </c>
    </row>
    <row r="434" spans="1:8" ht="12.75">
      <c r="A434" t="s">
        <v>6</v>
      </c>
      <c r="B434" s="4" t="s">
        <v>1154</v>
      </c>
      <c r="C434" t="s">
        <v>1137</v>
      </c>
      <c r="D434" t="s">
        <v>1070</v>
      </c>
      <c r="E434" t="s">
        <v>1109</v>
      </c>
      <c r="F434" t="s">
        <v>10</v>
      </c>
      <c r="G434" t="s">
        <v>11</v>
      </c>
      <c r="H434" s="1" t="str">
        <f>HYPERLINK("http://apps.fcc.gov/ecfs/document/view?id=7520944436","  (1 page)")</f>
        <v>  (1 page)</v>
      </c>
    </row>
    <row r="435" spans="1:8" ht="12.75">
      <c r="A435" t="s">
        <v>6</v>
      </c>
      <c r="B435" s="4" t="s">
        <v>961</v>
      </c>
      <c r="C435" t="s">
        <v>618</v>
      </c>
      <c r="D435" t="s">
        <v>598</v>
      </c>
      <c r="E435" t="s">
        <v>524</v>
      </c>
      <c r="F435" t="s">
        <v>10</v>
      </c>
      <c r="G435" t="s">
        <v>11</v>
      </c>
      <c r="H435" s="1" t="str">
        <f>HYPERLINK("http://apps.fcc.gov/ecfs/document/view?id=7520943000","E rate Comments (1 page)")</f>
        <v>E rate Comments (1 page)</v>
      </c>
    </row>
    <row r="436" spans="1:8" ht="12.75">
      <c r="A436" t="s">
        <v>6</v>
      </c>
      <c r="B436" s="4" t="s">
        <v>956</v>
      </c>
      <c r="C436" t="s">
        <v>455</v>
      </c>
      <c r="D436" t="s">
        <v>333</v>
      </c>
      <c r="E436" t="s">
        <v>333</v>
      </c>
      <c r="F436" t="s">
        <v>10</v>
      </c>
      <c r="G436" t="s">
        <v>11</v>
      </c>
      <c r="H436" s="1" t="str">
        <f>HYPERLINK("http://apps.fcc.gov/ecfs/document/view?id=7520943393","  (1 page)")</f>
        <v>  (1 page)</v>
      </c>
    </row>
    <row r="437" spans="1:8" ht="12.75">
      <c r="A437" t="s">
        <v>6</v>
      </c>
      <c r="B437" s="4" t="s">
        <v>682</v>
      </c>
      <c r="D437" t="s">
        <v>673</v>
      </c>
      <c r="E437" t="s">
        <v>673</v>
      </c>
      <c r="F437" t="s">
        <v>10</v>
      </c>
      <c r="G437" t="s">
        <v>11</v>
      </c>
      <c r="H437" s="1" t="str">
        <f>HYPERLINK("http://apps.fcc.gov/ecfs/document/view?id=7520942539","  (1 page)")</f>
        <v>  (1 page)</v>
      </c>
    </row>
    <row r="438" spans="1:8" ht="12.75">
      <c r="A438" t="s">
        <v>6</v>
      </c>
      <c r="B438" s="4" t="s">
        <v>859</v>
      </c>
      <c r="C438" t="s">
        <v>80</v>
      </c>
      <c r="D438" t="s">
        <v>21</v>
      </c>
      <c r="E438" t="s">
        <v>9</v>
      </c>
      <c r="F438" t="s">
        <v>10</v>
      </c>
      <c r="G438" t="s">
        <v>11</v>
      </c>
      <c r="H438" s="1" t="str">
        <f>HYPERLINK("http://apps.fcc.gov/ecfs/document/view?id=7520944102","  (1 page)")</f>
        <v>  (1 page)</v>
      </c>
    </row>
    <row r="439" spans="1:8" ht="12.75">
      <c r="A439" t="s">
        <v>6</v>
      </c>
      <c r="B439" s="4" t="s">
        <v>1020</v>
      </c>
      <c r="C439" t="s">
        <v>223</v>
      </c>
      <c r="D439" t="s">
        <v>21</v>
      </c>
      <c r="E439" t="s">
        <v>9</v>
      </c>
      <c r="F439" t="s">
        <v>10</v>
      </c>
      <c r="G439" t="s">
        <v>11</v>
      </c>
      <c r="H439" s="1" t="str">
        <f>HYPERLINK("http://apps.fcc.gov/ecfs/document/view?id=7520943986"," (1 page)")</f>
        <v> (1 page)</v>
      </c>
    </row>
    <row r="440" spans="1:8" ht="12.75">
      <c r="A440" t="s">
        <v>6</v>
      </c>
      <c r="B440" s="4" t="s">
        <v>1010</v>
      </c>
      <c r="C440" t="s">
        <v>644</v>
      </c>
      <c r="D440" t="s">
        <v>598</v>
      </c>
      <c r="E440" t="s">
        <v>598</v>
      </c>
      <c r="F440" t="s">
        <v>10</v>
      </c>
      <c r="G440" t="s">
        <v>11</v>
      </c>
      <c r="H440" s="1" t="str">
        <f>HYPERLINK("http://apps.fcc.gov/ecfs/document/view?id=7520942911","  (1 page)")</f>
        <v>  (1 page)</v>
      </c>
    </row>
    <row r="441" spans="1:8" ht="12.75">
      <c r="A441" t="s">
        <v>6</v>
      </c>
      <c r="B441" s="4" t="s">
        <v>890</v>
      </c>
      <c r="C441" t="s">
        <v>777</v>
      </c>
      <c r="D441" t="s">
        <v>770</v>
      </c>
      <c r="E441" t="s">
        <v>768</v>
      </c>
      <c r="F441" t="s">
        <v>10</v>
      </c>
      <c r="G441" t="s">
        <v>11</v>
      </c>
      <c r="H441" s="1" t="str">
        <f>HYPERLINK("http://apps.fcc.gov/ecfs/document/view?id=7520938405"," (1 page)")</f>
        <v> (1 page)</v>
      </c>
    </row>
    <row r="442" spans="1:8" ht="12.75">
      <c r="A442" t="s">
        <v>6</v>
      </c>
      <c r="B442" s="4" t="s">
        <v>1148</v>
      </c>
      <c r="C442" t="s">
        <v>1118</v>
      </c>
      <c r="D442" t="s">
        <v>1109</v>
      </c>
      <c r="E442" t="s">
        <v>1109</v>
      </c>
      <c r="F442" t="s">
        <v>10</v>
      </c>
      <c r="G442" t="s">
        <v>11</v>
      </c>
      <c r="H442" s="1" t="str">
        <f>HYPERLINK("http://apps.fcc.gov/ecfs/document/view?id=7520944714","  (1 page)")</f>
        <v>  (1 page)</v>
      </c>
    </row>
    <row r="443" spans="1:8" ht="12.75">
      <c r="A443" t="s">
        <v>6</v>
      </c>
      <c r="B443" s="4" t="s">
        <v>869</v>
      </c>
      <c r="C443" t="s">
        <v>415</v>
      </c>
      <c r="D443" t="s">
        <v>333</v>
      </c>
      <c r="E443" t="s">
        <v>333</v>
      </c>
      <c r="F443" t="s">
        <v>10</v>
      </c>
      <c r="G443" t="s">
        <v>11</v>
      </c>
      <c r="H443" s="1" t="str">
        <f>HYPERLINK("http://apps.fcc.gov/ecfs/document/view?id=7520943334","  (1 page)")</f>
        <v>  (1 page)</v>
      </c>
    </row>
    <row r="444" spans="1:8" ht="12.75">
      <c r="A444" t="s">
        <v>6</v>
      </c>
      <c r="B444" s="4" t="s">
        <v>184</v>
      </c>
      <c r="D444" t="s">
        <v>9</v>
      </c>
      <c r="E444" t="s">
        <v>9</v>
      </c>
      <c r="F444" t="s">
        <v>10</v>
      </c>
      <c r="G444" t="s">
        <v>11</v>
      </c>
      <c r="H444" s="1" t="str">
        <f>HYPERLINK("http://apps.fcc.gov/ecfs/document/view?id=7520944249","  (1 page)")</f>
        <v>  (1 page)</v>
      </c>
    </row>
    <row r="445" spans="1:8" ht="12.75">
      <c r="A445" t="s">
        <v>6</v>
      </c>
      <c r="B445" s="4" t="s">
        <v>18</v>
      </c>
      <c r="D445" t="s">
        <v>9</v>
      </c>
      <c r="E445" t="s">
        <v>9</v>
      </c>
      <c r="F445" t="s">
        <v>10</v>
      </c>
      <c r="G445" t="s">
        <v>11</v>
      </c>
      <c r="H445" s="1" t="str">
        <f>HYPERLINK("http://apps.fcc.gov/ecfs/document/view?id=7520944264","  (1 page)")</f>
        <v>  (1 page)</v>
      </c>
    </row>
    <row r="446" spans="1:8" ht="12.75">
      <c r="A446" t="s">
        <v>6</v>
      </c>
      <c r="B446" s="4" t="s">
        <v>996</v>
      </c>
      <c r="C446" t="s">
        <v>704</v>
      </c>
      <c r="D446" t="s">
        <v>701</v>
      </c>
      <c r="E446" t="s">
        <v>685</v>
      </c>
      <c r="F446" t="s">
        <v>10</v>
      </c>
      <c r="G446" t="s">
        <v>11</v>
      </c>
      <c r="H446" s="1" t="str">
        <f>HYPERLINK("http://apps.fcc.gov/ecfs/document/view?id=7520942121","  (1 page)")</f>
        <v>  (1 page)</v>
      </c>
    </row>
    <row r="447" spans="1:8" ht="12.75">
      <c r="A447" t="s">
        <v>6</v>
      </c>
      <c r="B447" s="4" t="s">
        <v>468</v>
      </c>
      <c r="D447" t="s">
        <v>333</v>
      </c>
      <c r="E447" t="s">
        <v>333</v>
      </c>
      <c r="F447" t="s">
        <v>10</v>
      </c>
      <c r="G447" t="s">
        <v>11</v>
      </c>
      <c r="H447" s="1" t="str">
        <f>HYPERLINK("http://apps.fcc.gov/ecfs/document/view?id=7520943386","  (1 page)")</f>
        <v>  (1 page)</v>
      </c>
    </row>
    <row r="448" spans="1:8" ht="12.75">
      <c r="A448" t="s">
        <v>6</v>
      </c>
      <c r="B448" s="4" t="s">
        <v>518</v>
      </c>
      <c r="D448" t="s">
        <v>333</v>
      </c>
      <c r="E448" t="s">
        <v>333</v>
      </c>
      <c r="F448" t="s">
        <v>10</v>
      </c>
      <c r="G448" t="s">
        <v>11</v>
      </c>
      <c r="H448" s="1" t="str">
        <f>HYPERLINK("http://apps.fcc.gov/ecfs/document/view?id=7520943266","  (1 page)")</f>
        <v>  (1 page)</v>
      </c>
    </row>
    <row r="449" spans="1:8" ht="12.75">
      <c r="A449" t="s">
        <v>6</v>
      </c>
      <c r="B449" s="4" t="s">
        <v>517</v>
      </c>
      <c r="D449" t="s">
        <v>333</v>
      </c>
      <c r="E449" t="s">
        <v>333</v>
      </c>
      <c r="F449" t="s">
        <v>10</v>
      </c>
      <c r="G449" t="s">
        <v>11</v>
      </c>
      <c r="H449" s="1" t="str">
        <f>HYPERLINK("http://apps.fcc.gov/ecfs/document/view?id=7520943276","  (1 page)")</f>
        <v>  (1 page)</v>
      </c>
    </row>
    <row r="450" spans="1:8" ht="12.75">
      <c r="A450" t="s">
        <v>6</v>
      </c>
      <c r="B450" s="4" t="s">
        <v>983</v>
      </c>
      <c r="C450" t="s">
        <v>469</v>
      </c>
      <c r="D450" t="s">
        <v>333</v>
      </c>
      <c r="E450" t="s">
        <v>333</v>
      </c>
      <c r="F450" t="s">
        <v>10</v>
      </c>
      <c r="G450" t="s">
        <v>11</v>
      </c>
      <c r="H450" s="1" t="str">
        <f>HYPERLINK("http://apps.fcc.gov/ecfs/document/view?id=7520943293","  (1 page)")</f>
        <v>  (1 page)</v>
      </c>
    </row>
    <row r="451" spans="1:8" ht="12.75">
      <c r="A451" t="s">
        <v>6</v>
      </c>
      <c r="B451" s="4" t="s">
        <v>1007</v>
      </c>
      <c r="C451" t="s">
        <v>803</v>
      </c>
      <c r="D451" t="s">
        <v>804</v>
      </c>
      <c r="E451" t="s">
        <v>805</v>
      </c>
      <c r="F451" t="s">
        <v>10</v>
      </c>
      <c r="G451" t="s">
        <v>11</v>
      </c>
      <c r="H451" s="1" t="str">
        <f>HYPERLINK("http://apps.fcc.gov/ecfs/document/view?id=7520933012"," (1 page)")</f>
        <v> (1 page)</v>
      </c>
    </row>
    <row r="452" spans="1:8" ht="12.75">
      <c r="A452" t="s">
        <v>6</v>
      </c>
      <c r="B452" s="4" t="s">
        <v>850</v>
      </c>
      <c r="C452" t="s">
        <v>560</v>
      </c>
      <c r="D452" t="s">
        <v>524</v>
      </c>
      <c r="E452" t="s">
        <v>524</v>
      </c>
      <c r="F452" t="s">
        <v>10</v>
      </c>
      <c r="G452" t="s">
        <v>11</v>
      </c>
      <c r="H452" s="1" t="str">
        <f>HYPERLINK("http://apps.fcc.gov/ecfs/document/view?id=7520943088"," (1 page)")</f>
        <v> (1 page)</v>
      </c>
    </row>
    <row r="453" spans="1:8" ht="12.75">
      <c r="A453" t="s">
        <v>6</v>
      </c>
      <c r="B453" s="4" t="s">
        <v>847</v>
      </c>
      <c r="C453" t="s">
        <v>403</v>
      </c>
      <c r="D453" t="s">
        <v>333</v>
      </c>
      <c r="E453" t="s">
        <v>333</v>
      </c>
      <c r="F453" t="s">
        <v>10</v>
      </c>
      <c r="G453" t="s">
        <v>11</v>
      </c>
      <c r="H453" s="1" t="str">
        <f>HYPERLINK("http://apps.fcc.gov/ecfs/document/view?id=7520943312","  (1 page)")</f>
        <v>  (1 page)</v>
      </c>
    </row>
    <row r="454" spans="1:8" ht="12.75">
      <c r="A454" t="s">
        <v>6</v>
      </c>
      <c r="B454" s="4" t="s">
        <v>1005</v>
      </c>
      <c r="C454" t="s">
        <v>643</v>
      </c>
      <c r="D454" t="s">
        <v>598</v>
      </c>
      <c r="E454" t="s">
        <v>598</v>
      </c>
      <c r="F454" t="s">
        <v>10</v>
      </c>
      <c r="G454" t="s">
        <v>11</v>
      </c>
      <c r="H454" s="1" t="str">
        <f>HYPERLINK("http://apps.fcc.gov/ecfs/document/view?id=7520942884","  (1 page)")</f>
        <v>  (1 page)</v>
      </c>
    </row>
    <row r="455" spans="1:8" ht="12.75">
      <c r="A455" t="s">
        <v>6</v>
      </c>
      <c r="B455" s="4" t="s">
        <v>973</v>
      </c>
      <c r="C455" t="s">
        <v>175</v>
      </c>
      <c r="D455" t="s">
        <v>21</v>
      </c>
      <c r="E455" t="s">
        <v>9</v>
      </c>
      <c r="F455" t="s">
        <v>10</v>
      </c>
      <c r="G455" t="s">
        <v>11</v>
      </c>
      <c r="H455" s="1" t="str">
        <f>HYPERLINK("http://apps.fcc.gov/ecfs/document/view?id=7520944105","  (1 page)")</f>
        <v>  (1 page)</v>
      </c>
    </row>
    <row r="456" spans="1:8" ht="12.75">
      <c r="A456" t="s">
        <v>6</v>
      </c>
      <c r="B456" s="4" t="s">
        <v>369</v>
      </c>
      <c r="D456" t="s">
        <v>21</v>
      </c>
      <c r="E456" t="s">
        <v>21</v>
      </c>
      <c r="F456" t="s">
        <v>10</v>
      </c>
      <c r="G456" t="s">
        <v>11</v>
      </c>
      <c r="H456" s="1" t="str">
        <f>HYPERLINK("http://apps.fcc.gov/ecfs/document/view?id=7520943591"," (1 page)")</f>
        <v> (1 page)</v>
      </c>
    </row>
    <row r="457" spans="1:8" ht="12.75">
      <c r="A457" t="s">
        <v>6</v>
      </c>
      <c r="B457" s="4" t="s">
        <v>466</v>
      </c>
      <c r="D457" t="s">
        <v>333</v>
      </c>
      <c r="E457" t="s">
        <v>333</v>
      </c>
      <c r="F457" t="s">
        <v>10</v>
      </c>
      <c r="G457" t="s">
        <v>11</v>
      </c>
      <c r="H457" s="1" t="str">
        <f>HYPERLINK("http://apps.fcc.gov/ecfs/document/view?id=7520943387","  (1 page)")</f>
        <v>  (1 page)</v>
      </c>
    </row>
    <row r="458" spans="1:8" ht="12.75">
      <c r="A458" t="s">
        <v>6</v>
      </c>
      <c r="B458" s="4" t="s">
        <v>660</v>
      </c>
      <c r="D458" t="s">
        <v>652</v>
      </c>
      <c r="E458" t="s">
        <v>652</v>
      </c>
      <c r="F458" t="s">
        <v>10</v>
      </c>
      <c r="G458" t="s">
        <v>11</v>
      </c>
      <c r="H458" s="1" t="str">
        <f>HYPERLINK("http://apps.fcc.gov/ecfs/document/view?id=7520942818","Groesbeck ISD s comment on changes to email and web hosting  (1 page)")</f>
        <v>Groesbeck ISD s comment on changes to email and web hosting  (1 page)</v>
      </c>
    </row>
    <row r="459" spans="1:8" ht="12.75">
      <c r="A459" t="s">
        <v>6</v>
      </c>
      <c r="B459" s="4" t="s">
        <v>917</v>
      </c>
      <c r="C459" t="s">
        <v>918</v>
      </c>
      <c r="D459" t="s">
        <v>21</v>
      </c>
      <c r="E459" t="s">
        <v>21</v>
      </c>
      <c r="F459" t="s">
        <v>10</v>
      </c>
      <c r="G459" t="s">
        <v>11</v>
      </c>
      <c r="H459" s="1" t="str">
        <f>HYPERLINK("http://apps.fcc.gov/ecfs/document/view?id=7520943860","  (1 page)")</f>
        <v>  (1 page)</v>
      </c>
    </row>
    <row r="460" spans="1:8" ht="12.75">
      <c r="A460" t="s">
        <v>6</v>
      </c>
      <c r="B460" s="4" t="s">
        <v>971</v>
      </c>
      <c r="C460" t="s">
        <v>465</v>
      </c>
      <c r="D460" t="s">
        <v>333</v>
      </c>
      <c r="E460" t="s">
        <v>333</v>
      </c>
      <c r="F460" t="s">
        <v>10</v>
      </c>
      <c r="G460" t="s">
        <v>11</v>
      </c>
      <c r="H460" s="1" t="str">
        <f>HYPERLINK("http://apps.fcc.gov/ecfs/document/view?id=7520943418","  (1 page)")</f>
        <v>  (1 page)</v>
      </c>
    </row>
    <row r="461" spans="1:8" ht="12.75">
      <c r="A461" t="s">
        <v>6</v>
      </c>
      <c r="B461" s="4" t="s">
        <v>834</v>
      </c>
      <c r="C461" t="s">
        <v>395</v>
      </c>
      <c r="D461" t="s">
        <v>333</v>
      </c>
      <c r="E461" t="s">
        <v>333</v>
      </c>
      <c r="F461" t="s">
        <v>10</v>
      </c>
      <c r="G461" t="s">
        <v>11</v>
      </c>
      <c r="H461" s="1" t="str">
        <f>HYPERLINK("http://apps.fcc.gov/ecfs/document/view?id=7520943436","  (1 page)")</f>
        <v>  (1 page)</v>
      </c>
    </row>
    <row r="462" spans="1:8" ht="12.75">
      <c r="A462" t="s">
        <v>6</v>
      </c>
      <c r="B462" s="4" t="s">
        <v>1136</v>
      </c>
      <c r="D462" t="s">
        <v>1070</v>
      </c>
      <c r="E462" t="s">
        <v>1109</v>
      </c>
      <c r="F462" t="s">
        <v>10</v>
      </c>
      <c r="G462" t="s">
        <v>11</v>
      </c>
      <c r="H462" s="1" t="str">
        <f>HYPERLINK("http://apps.fcc.gov/ecfs/document/view?id=7520944478","  (1 page)")</f>
        <v>  (1 page)</v>
      </c>
    </row>
    <row r="463" spans="1:8" ht="12.75">
      <c r="A463" t="s">
        <v>6</v>
      </c>
      <c r="B463" s="4" t="s">
        <v>877</v>
      </c>
      <c r="C463" t="s">
        <v>565</v>
      </c>
      <c r="D463" t="s">
        <v>524</v>
      </c>
      <c r="E463" t="s">
        <v>524</v>
      </c>
      <c r="F463" t="s">
        <v>10</v>
      </c>
      <c r="G463" t="s">
        <v>11</v>
      </c>
      <c r="H463" s="1" t="str">
        <f>HYPERLINK("http://apps.fcc.gov/ecfs/document/view?id=7520943076","  (1 page)")</f>
        <v>  (1 page)</v>
      </c>
    </row>
    <row r="464" spans="1:12" ht="12.75">
      <c r="A464" t="s">
        <v>6</v>
      </c>
      <c r="B464" s="4" t="s">
        <v>994</v>
      </c>
      <c r="C464" t="s">
        <v>995</v>
      </c>
      <c r="D464" t="s">
        <v>21</v>
      </c>
      <c r="E464" t="s">
        <v>21</v>
      </c>
      <c r="F464" t="s">
        <v>10</v>
      </c>
      <c r="G464" t="s">
        <v>11</v>
      </c>
      <c r="H464" s="1" t="str">
        <f>HYPERLINK("http://apps.fcc.gov/ecfs/document/view?id=7520943801","  (1 page)")</f>
        <v>  (1 page)</v>
      </c>
      <c r="L464" s="12" t="str">
        <f>HYPERLINK("http://www.e-ratecentral.com/FCC/ERate20NPRMComments/pdf/HarvardSchoolofGvtNPRMComments_9-16-2013.pdf","Harvard Graduate School of Education (1 pages)")</f>
        <v>Harvard Graduate School of Education (1 pages)</v>
      </c>
    </row>
    <row r="465" spans="1:12" ht="12.75">
      <c r="A465" t="s">
        <v>6</v>
      </c>
      <c r="B465" s="4" t="s">
        <v>463</v>
      </c>
      <c r="D465" t="s">
        <v>333</v>
      </c>
      <c r="E465" t="s">
        <v>333</v>
      </c>
      <c r="F465" t="s">
        <v>10</v>
      </c>
      <c r="G465" t="s">
        <v>11</v>
      </c>
      <c r="H465" s="1" t="str">
        <f>HYPERLINK("http://apps.fcc.gov/ecfs/document/view?id=7520943402","  (1 page)")</f>
        <v>  (1 page)</v>
      </c>
      <c r="L465" s="12" t="str">
        <f>HYPERLINK("http://www.e-ratecentral.com/FCC/ERate20NPRMComments/pdf/heartlandEdCon_NPRM_Comments_9-16-2013.pdf","Heartland Educational Consortium (1 pages)")</f>
        <v>Heartland Educational Consortium (1 pages)</v>
      </c>
    </row>
    <row r="466" spans="1:8" ht="12.75">
      <c r="A466" t="s">
        <v>6</v>
      </c>
      <c r="B466" s="4" t="s">
        <v>462</v>
      </c>
      <c r="D466" t="s">
        <v>333</v>
      </c>
      <c r="E466" t="s">
        <v>333</v>
      </c>
      <c r="F466" t="s">
        <v>10</v>
      </c>
      <c r="G466" t="s">
        <v>11</v>
      </c>
      <c r="H466" s="1" t="str">
        <f>HYPERLINK("http://apps.fcc.gov/ecfs/document/view?id=7520943391","  (1 page)")</f>
        <v>  (1 page)</v>
      </c>
    </row>
    <row r="467" spans="1:8" ht="12.75">
      <c r="A467" t="s">
        <v>6</v>
      </c>
      <c r="B467" s="4" t="s">
        <v>579</v>
      </c>
      <c r="D467" t="s">
        <v>524</v>
      </c>
      <c r="E467" t="s">
        <v>524</v>
      </c>
      <c r="F467" t="s">
        <v>10</v>
      </c>
      <c r="G467" t="s">
        <v>11</v>
      </c>
      <c r="H467" s="3" t="str">
        <f>HYPERLINK("http://apps.fcc.gov/ecfs/document/view?id=7520943087","  (1 page)")</f>
        <v>  (1 page)</v>
      </c>
    </row>
    <row r="468" spans="1:8" ht="12.75">
      <c r="A468" t="s">
        <v>6</v>
      </c>
      <c r="B468" s="4" t="s">
        <v>900</v>
      </c>
      <c r="C468" t="s">
        <v>609</v>
      </c>
      <c r="D468" t="s">
        <v>598</v>
      </c>
      <c r="E468" t="s">
        <v>524</v>
      </c>
      <c r="F468" t="s">
        <v>10</v>
      </c>
      <c r="G468" t="s">
        <v>11</v>
      </c>
      <c r="H468" s="1" t="str">
        <f>HYPERLINK("http://apps.fcc.gov/ecfs/document/view?id=7520942959"," (1 page)")</f>
        <v> (1 page)</v>
      </c>
    </row>
    <row r="469" spans="1:8" ht="12.75">
      <c r="A469" t="s">
        <v>6</v>
      </c>
      <c r="B469" s="4" t="s">
        <v>1018</v>
      </c>
      <c r="C469" t="s">
        <v>548</v>
      </c>
      <c r="D469" t="s">
        <v>333</v>
      </c>
      <c r="E469" t="s">
        <v>333</v>
      </c>
      <c r="F469" t="s">
        <v>10</v>
      </c>
      <c r="G469" t="s">
        <v>11</v>
      </c>
      <c r="H469" s="1" t="str">
        <f>HYPERLINK("http://apps.fcc.gov/ecfs/document/view?id=7520943222","  (1 page)")</f>
        <v>  (1 page)</v>
      </c>
    </row>
    <row r="470" spans="1:8" ht="12.75">
      <c r="A470" t="s">
        <v>6</v>
      </c>
      <c r="B470" s="4" t="s">
        <v>836</v>
      </c>
      <c r="C470" t="s">
        <v>47</v>
      </c>
      <c r="D470" t="s">
        <v>21</v>
      </c>
      <c r="E470" t="s">
        <v>9</v>
      </c>
      <c r="F470" t="s">
        <v>10</v>
      </c>
      <c r="G470" t="s">
        <v>11</v>
      </c>
      <c r="H470" s="1" t="str">
        <f>HYPERLINK("http://apps.fcc.gov/ecfs/document/view?id=7520944045","  (1 page)")</f>
        <v>  (1 page)</v>
      </c>
    </row>
    <row r="471" spans="1:12" ht="12.75">
      <c r="A471" t="s">
        <v>6</v>
      </c>
      <c r="B471" s="4" t="s">
        <v>285</v>
      </c>
      <c r="D471" t="s">
        <v>21</v>
      </c>
      <c r="E471" t="s">
        <v>21</v>
      </c>
      <c r="F471" t="s">
        <v>10</v>
      </c>
      <c r="G471" t="s">
        <v>11</v>
      </c>
      <c r="H471" s="1" t="str">
        <f>HYPERLINK("http://apps.fcc.gov/ecfs/document/view?id=7520943822","  (1 page)")</f>
        <v>  (1 page)</v>
      </c>
      <c r="L471" s="12" t="str">
        <f>HYPERLINK("http://www.e-ratecentral.com/FCC/ERate20NPRMComments/pdf/HopeElemSchool_NPRM_Comments_9-16-2013.pdf","Hope Elementary School District (1 pages)")</f>
        <v>Hope Elementary School District (1 pages)</v>
      </c>
    </row>
    <row r="472" spans="1:8" ht="12.75">
      <c r="A472" t="s">
        <v>6</v>
      </c>
      <c r="B472" s="4" t="s">
        <v>578</v>
      </c>
      <c r="D472" t="s">
        <v>524</v>
      </c>
      <c r="E472" t="s">
        <v>524</v>
      </c>
      <c r="F472" t="s">
        <v>10</v>
      </c>
      <c r="G472" t="s">
        <v>11</v>
      </c>
      <c r="H472" s="1" t="str">
        <f>HYPERLINK("http://apps.fcc.gov/ecfs/document/view?id=7520943050","  (1 page)")</f>
        <v>  (1 page)</v>
      </c>
    </row>
    <row r="473" spans="1:8" ht="12.75">
      <c r="A473" t="s">
        <v>6</v>
      </c>
      <c r="B473" s="4" t="s">
        <v>925</v>
      </c>
      <c r="C473" t="s">
        <v>447</v>
      </c>
      <c r="D473" t="s">
        <v>333</v>
      </c>
      <c r="E473" t="s">
        <v>333</v>
      </c>
      <c r="F473" t="s">
        <v>10</v>
      </c>
      <c r="G473" t="s">
        <v>11</v>
      </c>
      <c r="H473" s="1" t="str">
        <f>HYPERLINK("http://apps.fcc.gov/ecfs/document/view?id=7520943306","  (1 page)")</f>
        <v>  (1 page)</v>
      </c>
    </row>
    <row r="474" spans="1:8" ht="12.75">
      <c r="A474" t="s">
        <v>6</v>
      </c>
      <c r="B474" s="4" t="s">
        <v>952</v>
      </c>
      <c r="C474" t="s">
        <v>656</v>
      </c>
      <c r="D474" t="s">
        <v>652</v>
      </c>
      <c r="E474" t="s">
        <v>598</v>
      </c>
      <c r="F474" t="s">
        <v>10</v>
      </c>
      <c r="G474" t="s">
        <v>11</v>
      </c>
      <c r="H474" s="1" t="str">
        <f>HYPERLINK("http://apps.fcc.gov/ecfs/document/view?id=7520942843","  (1 page)")</f>
        <v>  (1 page)</v>
      </c>
    </row>
    <row r="475" spans="1:8" ht="12.75">
      <c r="A475" t="s">
        <v>6</v>
      </c>
      <c r="B475" s="4" t="s">
        <v>516</v>
      </c>
      <c r="D475" t="s">
        <v>333</v>
      </c>
      <c r="E475" t="s">
        <v>333</v>
      </c>
      <c r="F475" t="s">
        <v>10</v>
      </c>
      <c r="G475" t="s">
        <v>11</v>
      </c>
      <c r="H475" s="1" t="str">
        <f>HYPERLINK("http://apps.fcc.gov/ecfs/document/view?id=7520943257","  (1 page)")</f>
        <v>  (1 page)</v>
      </c>
    </row>
    <row r="476" spans="1:8" ht="12.75">
      <c r="A476" t="s">
        <v>6</v>
      </c>
      <c r="B476" s="4" t="s">
        <v>162</v>
      </c>
      <c r="D476" t="s">
        <v>9</v>
      </c>
      <c r="E476" t="s">
        <v>9</v>
      </c>
      <c r="F476" t="s">
        <v>10</v>
      </c>
      <c r="G476" t="s">
        <v>11</v>
      </c>
      <c r="H476" s="1" t="str">
        <f>HYPERLINK("http://apps.fcc.gov/ecfs/document/view?id=7520944226","  (1 page)")</f>
        <v>  (1 page)</v>
      </c>
    </row>
    <row r="477" spans="1:8" ht="12.75">
      <c r="A477" t="s">
        <v>6</v>
      </c>
      <c r="B477" s="4" t="s">
        <v>459</v>
      </c>
      <c r="D477" t="s">
        <v>333</v>
      </c>
      <c r="E477" t="s">
        <v>333</v>
      </c>
      <c r="F477" t="s">
        <v>10</v>
      </c>
      <c r="G477" t="s">
        <v>11</v>
      </c>
      <c r="H477" s="1" t="str">
        <f>HYPERLINK("http://apps.fcc.gov/ecfs/document/view?id=7520943364"," (1 page)")</f>
        <v> (1 page)</v>
      </c>
    </row>
    <row r="478" spans="1:8" ht="12.75">
      <c r="A478" t="s">
        <v>6</v>
      </c>
      <c r="B478" s="4" t="s">
        <v>458</v>
      </c>
      <c r="D478" t="s">
        <v>333</v>
      </c>
      <c r="E478" t="s">
        <v>333</v>
      </c>
      <c r="F478" t="s">
        <v>10</v>
      </c>
      <c r="G478" t="s">
        <v>11</v>
      </c>
      <c r="H478" s="1" t="str">
        <f>HYPERLINK("http://apps.fcc.gov/ecfs/document/view?id=7520943425","  (1 page)")</f>
        <v>  (1 page)</v>
      </c>
    </row>
    <row r="479" spans="1:8" ht="12.75">
      <c r="A479" t="s">
        <v>6</v>
      </c>
      <c r="B479" s="4" t="s">
        <v>366</v>
      </c>
      <c r="D479" t="s">
        <v>333</v>
      </c>
      <c r="E479" t="s">
        <v>21</v>
      </c>
      <c r="F479" t="s">
        <v>10</v>
      </c>
      <c r="G479" t="s">
        <v>11</v>
      </c>
      <c r="H479" s="1" t="str">
        <f>HYPERLINK("http://apps.fcc.gov/ecfs/document/view?id=7520943450","  (1 page)")</f>
        <v>  (1 page)</v>
      </c>
    </row>
    <row r="480" spans="1:8" ht="12.75">
      <c r="A480" t="s">
        <v>6</v>
      </c>
      <c r="B480" s="4" t="s">
        <v>457</v>
      </c>
      <c r="D480" t="s">
        <v>333</v>
      </c>
      <c r="E480" t="s">
        <v>333</v>
      </c>
      <c r="F480" t="s">
        <v>10</v>
      </c>
      <c r="G480" t="s">
        <v>11</v>
      </c>
      <c r="H480" s="1" t="str">
        <f>HYPERLINK("http://apps.fcc.gov/ecfs/document/view?id=7520943328","  (1 page)")</f>
        <v>  (1 page)</v>
      </c>
    </row>
    <row r="481" spans="1:8" ht="12.75">
      <c r="A481" t="s">
        <v>6</v>
      </c>
      <c r="B481" s="4" t="s">
        <v>988</v>
      </c>
      <c r="D481" t="s">
        <v>9</v>
      </c>
      <c r="E481" t="s">
        <v>9</v>
      </c>
      <c r="F481" t="s">
        <v>10</v>
      </c>
      <c r="G481" t="s">
        <v>11</v>
      </c>
      <c r="H481" s="1" t="str">
        <f>HYPERLINK("http://apps.fcc.gov/ecfs/document/view?id=7520944273","Gaggle e rate support (1 page)")</f>
        <v>Gaggle e rate support (1 page)</v>
      </c>
    </row>
    <row r="482" spans="1:8" ht="12.75">
      <c r="A482" t="s">
        <v>6</v>
      </c>
      <c r="B482" s="4" t="s">
        <v>456</v>
      </c>
      <c r="D482" t="s">
        <v>333</v>
      </c>
      <c r="E482" t="s">
        <v>333</v>
      </c>
      <c r="F482" t="s">
        <v>10</v>
      </c>
      <c r="G482" t="s">
        <v>11</v>
      </c>
      <c r="H482" s="1" t="str">
        <f>HYPERLINK("http://apps.fcc.gov/ecfs/document/view?id=7520943365"," (1 page)")</f>
        <v> (1 page)</v>
      </c>
    </row>
    <row r="483" spans="1:8" ht="12.75">
      <c r="A483" t="s">
        <v>6</v>
      </c>
      <c r="B483" s="4" t="s">
        <v>1117</v>
      </c>
      <c r="D483" t="s">
        <v>1109</v>
      </c>
      <c r="E483" t="s">
        <v>1109</v>
      </c>
      <c r="F483" t="s">
        <v>10</v>
      </c>
      <c r="G483" t="s">
        <v>11</v>
      </c>
      <c r="H483" s="1" t="str">
        <f>HYPERLINK("http://apps.fcc.gov/ecfs/document/view?id=7520944715","  (1 page)")</f>
        <v>  (1 page)</v>
      </c>
    </row>
    <row r="484" spans="1:8" ht="12.75">
      <c r="A484" t="s">
        <v>6</v>
      </c>
      <c r="B484" s="4" t="s">
        <v>638</v>
      </c>
      <c r="C484" t="s">
        <v>958</v>
      </c>
      <c r="D484" t="s">
        <v>598</v>
      </c>
      <c r="E484" t="s">
        <v>598</v>
      </c>
      <c r="F484" t="s">
        <v>10</v>
      </c>
      <c r="G484" t="s">
        <v>11</v>
      </c>
      <c r="H484" s="1" t="str">
        <f>HYPERLINK("http://apps.fcc.gov/ecfs/document/view?id=7520942907","Chico USD Comment on E Rate NPRM (1 page)")</f>
        <v>Chico USD Comment on E Rate NPRM (1 page)</v>
      </c>
    </row>
    <row r="485" spans="1:8" ht="12.75">
      <c r="A485" t="s">
        <v>6</v>
      </c>
      <c r="B485" s="4" t="s">
        <v>160</v>
      </c>
      <c r="D485" t="s">
        <v>9</v>
      </c>
      <c r="E485" t="s">
        <v>9</v>
      </c>
      <c r="F485" t="s">
        <v>10</v>
      </c>
      <c r="G485" t="s">
        <v>11</v>
      </c>
      <c r="H485" s="1" t="str">
        <f>HYPERLINK("http://apps.fcc.gov/ecfs/document/view?id=7520944230","  (1 page)")</f>
        <v>  (1 page)</v>
      </c>
    </row>
    <row r="486" spans="1:8" ht="12.75">
      <c r="A486" t="s">
        <v>6</v>
      </c>
      <c r="B486" s="4" t="s">
        <v>719</v>
      </c>
      <c r="D486" t="s">
        <v>717</v>
      </c>
      <c r="E486" t="s">
        <v>707</v>
      </c>
      <c r="F486" t="s">
        <v>10</v>
      </c>
      <c r="G486" t="s">
        <v>11</v>
      </c>
      <c r="H486" s="1" t="str">
        <f>HYPERLINK("http://apps.fcc.gov/ecfs/document/view?id=7520940508"," (1 page)")</f>
        <v> (1 page)</v>
      </c>
    </row>
    <row r="487" spans="1:8" ht="12.75">
      <c r="A487" t="s">
        <v>6</v>
      </c>
      <c r="B487" s="4" t="s">
        <v>1134</v>
      </c>
      <c r="D487" t="s">
        <v>1070</v>
      </c>
      <c r="E487" t="s">
        <v>1109</v>
      </c>
      <c r="F487" t="s">
        <v>10</v>
      </c>
      <c r="G487" t="s">
        <v>11</v>
      </c>
      <c r="H487" s="1" t="str">
        <f>HYPERLINK("http://apps.fcc.gov/ecfs/document/view?id=7520944431","  (1 page)")</f>
        <v>  (1 page)</v>
      </c>
    </row>
    <row r="488" spans="1:8" ht="12.75">
      <c r="A488" t="s">
        <v>6</v>
      </c>
      <c r="B488" s="4" t="s">
        <v>453</v>
      </c>
      <c r="D488" t="s">
        <v>333</v>
      </c>
      <c r="E488" t="s">
        <v>333</v>
      </c>
      <c r="F488" t="s">
        <v>10</v>
      </c>
      <c r="G488" t="s">
        <v>11</v>
      </c>
      <c r="H488" s="1" t="str">
        <f>HYPERLINK("http://apps.fcc.gov/ecfs/document/view?id=7520943430","  (1 page)")</f>
        <v>  (1 page)</v>
      </c>
    </row>
    <row r="489" spans="1:9" ht="12.75">
      <c r="A489" t="s">
        <v>6</v>
      </c>
      <c r="B489" s="4" t="s">
        <v>452</v>
      </c>
      <c r="D489" t="s">
        <v>524</v>
      </c>
      <c r="E489" t="s">
        <v>333</v>
      </c>
      <c r="F489" t="s">
        <v>10</v>
      </c>
      <c r="G489" t="s">
        <v>11</v>
      </c>
      <c r="H489" s="1" t="str">
        <f>HYPERLINK("http://apps.fcc.gov/ecfs/document/view?id=7520943161","  (1 page)")</f>
        <v>  (1 page)</v>
      </c>
      <c r="I489" s="1"/>
    </row>
    <row r="490" spans="1:8" ht="12.75">
      <c r="A490" t="s">
        <v>6</v>
      </c>
      <c r="B490" s="4" t="s">
        <v>616</v>
      </c>
      <c r="D490" t="s">
        <v>598</v>
      </c>
      <c r="E490" t="s">
        <v>524</v>
      </c>
      <c r="F490" t="s">
        <v>10</v>
      </c>
      <c r="G490" t="s">
        <v>11</v>
      </c>
      <c r="H490" s="1" t="str">
        <f>HYPERLINK("http://apps.fcc.gov/ecfs/document/view?id=7520942996"," (1 page)")</f>
        <v> (1 page)</v>
      </c>
    </row>
    <row r="491" spans="1:8" ht="12.75">
      <c r="A491" t="s">
        <v>6</v>
      </c>
      <c r="B491" s="4" t="s">
        <v>157</v>
      </c>
      <c r="D491" t="s">
        <v>9</v>
      </c>
      <c r="E491" t="s">
        <v>9</v>
      </c>
      <c r="F491" t="s">
        <v>10</v>
      </c>
      <c r="G491" t="s">
        <v>11</v>
      </c>
      <c r="H491" s="1" t="str">
        <f>HYPERLINK("http://apps.fcc.gov/ecfs/document/view?id=7520944229","  (1 page)")</f>
        <v>  (1 page)</v>
      </c>
    </row>
    <row r="492" spans="1:8" ht="12.75">
      <c r="A492" t="s">
        <v>6</v>
      </c>
      <c r="B492" s="4" t="s">
        <v>451</v>
      </c>
      <c r="D492" t="s">
        <v>333</v>
      </c>
      <c r="E492" t="s">
        <v>333</v>
      </c>
      <c r="F492" t="s">
        <v>10</v>
      </c>
      <c r="G492" t="s">
        <v>11</v>
      </c>
      <c r="H492" s="1" t="str">
        <f>HYPERLINK("http://apps.fcc.gov/ecfs/document/view?id=7520943314","  (1 page)")</f>
        <v>  (1 page)</v>
      </c>
    </row>
    <row r="493" spans="1:8" ht="12.75">
      <c r="A493" t="s">
        <v>6</v>
      </c>
      <c r="B493" s="4" t="s">
        <v>576</v>
      </c>
      <c r="D493" t="s">
        <v>524</v>
      </c>
      <c r="E493" t="s">
        <v>524</v>
      </c>
      <c r="F493" t="s">
        <v>10</v>
      </c>
      <c r="G493" t="s">
        <v>11</v>
      </c>
      <c r="H493" s="1" t="str">
        <f>HYPERLINK("http://apps.fcc.gov/ecfs/document/view?id=7520943046","  (1 page)")</f>
        <v>  (1 page)</v>
      </c>
    </row>
    <row r="494" spans="1:8" ht="12.75">
      <c r="A494" t="s">
        <v>6</v>
      </c>
      <c r="B494" s="4" t="s">
        <v>153</v>
      </c>
      <c r="D494" t="s">
        <v>9</v>
      </c>
      <c r="E494" t="s">
        <v>9</v>
      </c>
      <c r="F494" t="s">
        <v>10</v>
      </c>
      <c r="G494" t="s">
        <v>11</v>
      </c>
      <c r="H494" s="1" t="str">
        <f>HYPERLINK("http://apps.fcc.gov/ecfs/document/view?id=7520942984","As school district in Texas (1 page)")</f>
        <v>As school district in Texas (1 page)</v>
      </c>
    </row>
    <row r="495" spans="1:8" ht="12.75">
      <c r="A495" t="s">
        <v>6</v>
      </c>
      <c r="B495" s="4" t="s">
        <v>151</v>
      </c>
      <c r="D495" t="s">
        <v>9</v>
      </c>
      <c r="E495" t="s">
        <v>9</v>
      </c>
      <c r="F495" t="s">
        <v>10</v>
      </c>
      <c r="G495" t="s">
        <v>11</v>
      </c>
      <c r="H495" s="1" t="str">
        <f>HYPERLINK("http://apps.fcc.gov/ecfs/document/view?id=7520944254","  (1 page)")</f>
        <v>  (1 page)</v>
      </c>
    </row>
    <row r="496" spans="1:8" ht="12.75">
      <c r="A496" t="s">
        <v>6</v>
      </c>
      <c r="B496" s="4" t="s">
        <v>711</v>
      </c>
      <c r="D496" t="s">
        <v>707</v>
      </c>
      <c r="E496" t="s">
        <v>707</v>
      </c>
      <c r="F496" t="s">
        <v>10</v>
      </c>
      <c r="G496" t="s">
        <v>11</v>
      </c>
      <c r="H496" s="1" t="str">
        <f>HYPERLINK("http://apps.fcc.gov/ecfs/document/view?id=7520941365"," (1 page)")</f>
        <v> (1 page)</v>
      </c>
    </row>
    <row r="497" spans="1:8" ht="12.75">
      <c r="A497" t="s">
        <v>6</v>
      </c>
      <c r="B497" s="4" t="s">
        <v>575</v>
      </c>
      <c r="D497" t="s">
        <v>524</v>
      </c>
      <c r="E497" t="s">
        <v>524</v>
      </c>
      <c r="F497" t="s">
        <v>10</v>
      </c>
      <c r="G497" t="s">
        <v>11</v>
      </c>
      <c r="H497" s="1" t="str">
        <f>HYPERLINK("http://apps.fcc.gov/ecfs/document/view?id=7520943079","  (1 page)")</f>
        <v>  (1 page)</v>
      </c>
    </row>
    <row r="498" spans="1:8" ht="12.75">
      <c r="A498" t="s">
        <v>6</v>
      </c>
      <c r="B498" s="4" t="s">
        <v>149</v>
      </c>
      <c r="D498" t="s">
        <v>9</v>
      </c>
      <c r="E498" t="s">
        <v>9</v>
      </c>
      <c r="F498" t="s">
        <v>10</v>
      </c>
      <c r="G498" t="s">
        <v>11</v>
      </c>
      <c r="H498" s="1" t="str">
        <f>HYPERLINK("http://apps.fcc.gov/ecfs/document/view?id=7520944258","  (1 page)")</f>
        <v>  (1 page)</v>
      </c>
    </row>
    <row r="499" spans="1:8" ht="12.75">
      <c r="A499" t="s">
        <v>6</v>
      </c>
      <c r="B499" s="4" t="s">
        <v>450</v>
      </c>
      <c r="D499" t="s">
        <v>333</v>
      </c>
      <c r="E499" t="s">
        <v>333</v>
      </c>
      <c r="F499" t="s">
        <v>10</v>
      </c>
      <c r="G499" t="s">
        <v>11</v>
      </c>
      <c r="H499" s="1" t="str">
        <f>HYPERLINK("http://apps.fcc.gov/ecfs/document/view?id=7520943298","  (1 page)")</f>
        <v>  (1 page)</v>
      </c>
    </row>
    <row r="500" spans="1:8" ht="12.75">
      <c r="A500" t="s">
        <v>6</v>
      </c>
      <c r="B500" s="4" t="s">
        <v>14</v>
      </c>
      <c r="D500" t="s">
        <v>9</v>
      </c>
      <c r="E500" t="s">
        <v>9</v>
      </c>
      <c r="F500" t="s">
        <v>10</v>
      </c>
      <c r="G500" t="s">
        <v>11</v>
      </c>
      <c r="H500" s="1" t="str">
        <f>HYPERLINK("http://apps.fcc.gov/ecfs/document/view?id=7520944260","  (1 page)")</f>
        <v>  (1 page)</v>
      </c>
    </row>
    <row r="501" spans="1:8" ht="12.75">
      <c r="A501" t="s">
        <v>6</v>
      </c>
      <c r="B501" s="4" t="s">
        <v>573</v>
      </c>
      <c r="D501" t="s">
        <v>524</v>
      </c>
      <c r="E501" t="s">
        <v>524</v>
      </c>
      <c r="F501" t="s">
        <v>10</v>
      </c>
      <c r="G501" t="s">
        <v>11</v>
      </c>
      <c r="H501" s="1" t="str">
        <f>HYPERLINK("http://apps.fcc.gov/ecfs/document/view?id=7520943053","  (1 page)")</f>
        <v>  (1 page)</v>
      </c>
    </row>
    <row r="502" spans="1:8" ht="12.75">
      <c r="A502" t="s">
        <v>6</v>
      </c>
      <c r="B502" s="4" t="s">
        <v>1115</v>
      </c>
      <c r="D502" t="s">
        <v>1109</v>
      </c>
      <c r="E502" t="s">
        <v>1109</v>
      </c>
      <c r="F502" t="s">
        <v>10</v>
      </c>
      <c r="G502" t="s">
        <v>11</v>
      </c>
      <c r="H502" s="1" t="str">
        <f>HYPERLINK("http://apps.fcc.gov/ecfs/document/view?id=7520944713","  (1 page)")</f>
        <v>  (1 page)</v>
      </c>
    </row>
    <row r="503" spans="1:8" ht="12.75">
      <c r="A503" t="s">
        <v>6</v>
      </c>
      <c r="B503" s="4" t="s">
        <v>449</v>
      </c>
      <c r="D503" t="s">
        <v>333</v>
      </c>
      <c r="E503" t="s">
        <v>333</v>
      </c>
      <c r="F503" t="s">
        <v>10</v>
      </c>
      <c r="G503" t="s">
        <v>11</v>
      </c>
      <c r="H503" s="1" t="str">
        <f>HYPERLINK("http://apps.fcc.gov/ecfs/document/view?id=7520943426","  (1 page)")</f>
        <v>  (1 page)</v>
      </c>
    </row>
    <row r="504" spans="1:8" ht="12.75">
      <c r="A504" t="s">
        <v>6</v>
      </c>
      <c r="B504" s="4" t="s">
        <v>572</v>
      </c>
      <c r="D504" t="s">
        <v>524</v>
      </c>
      <c r="E504" t="s">
        <v>524</v>
      </c>
      <c r="F504" t="s">
        <v>10</v>
      </c>
      <c r="G504" t="s">
        <v>11</v>
      </c>
      <c r="H504" s="1" t="str">
        <f>HYPERLINK("http://apps.fcc.gov/ecfs/document/view?id=7520943039","  (1 page)")</f>
        <v>  (1 page)</v>
      </c>
    </row>
    <row r="505" spans="1:8" ht="12.75">
      <c r="A505" t="s">
        <v>6</v>
      </c>
      <c r="B505" s="4" t="s">
        <v>1114</v>
      </c>
      <c r="D505" t="s">
        <v>1109</v>
      </c>
      <c r="E505" t="s">
        <v>1109</v>
      </c>
      <c r="F505" t="s">
        <v>10</v>
      </c>
      <c r="G505" t="s">
        <v>11</v>
      </c>
      <c r="H505" s="1" t="str">
        <f>HYPERLINK("http://apps.fcc.gov/ecfs/document/view?id=7520944701","  (1 page)")</f>
        <v>  (1 page)</v>
      </c>
    </row>
    <row r="506" spans="1:8" ht="12.75">
      <c r="A506" t="s">
        <v>6</v>
      </c>
      <c r="B506" s="4" t="s">
        <v>448</v>
      </c>
      <c r="D506" t="s">
        <v>333</v>
      </c>
      <c r="E506" t="s">
        <v>333</v>
      </c>
      <c r="F506" t="s">
        <v>10</v>
      </c>
      <c r="G506" t="s">
        <v>11</v>
      </c>
      <c r="H506" s="1" t="str">
        <f>HYPERLINK("http://apps.fcc.gov/ecfs/document/view?id=7520943380","  (1 page)")</f>
        <v>  (1 page)</v>
      </c>
    </row>
    <row r="507" spans="1:8" ht="12.75">
      <c r="A507" t="s">
        <v>6</v>
      </c>
      <c r="B507" s="4" t="s">
        <v>537</v>
      </c>
      <c r="D507" t="s">
        <v>524</v>
      </c>
      <c r="E507" t="s">
        <v>333</v>
      </c>
      <c r="F507" t="s">
        <v>10</v>
      </c>
      <c r="G507" t="s">
        <v>11</v>
      </c>
      <c r="H507" s="1" t="str">
        <f>HYPERLINK("http://apps.fcc.gov/ecfs/document/view?id=7520943204"," (1 page)")</f>
        <v> (1 page)</v>
      </c>
    </row>
    <row r="508" spans="1:8" ht="12.75">
      <c r="A508" t="s">
        <v>6</v>
      </c>
      <c r="B508" s="4" t="s">
        <v>446</v>
      </c>
      <c r="D508" t="s">
        <v>333</v>
      </c>
      <c r="E508" t="s">
        <v>333</v>
      </c>
      <c r="F508" t="s">
        <v>10</v>
      </c>
      <c r="G508" t="s">
        <v>11</v>
      </c>
      <c r="H508" s="1" t="str">
        <f>HYPERLINK("http://apps.fcc.gov/ecfs/document/view?id=7520943414","  (1 page)")</f>
        <v>  (1 page)</v>
      </c>
    </row>
    <row r="509" spans="1:8" ht="12.75">
      <c r="A509" t="s">
        <v>6</v>
      </c>
      <c r="B509" s="4" t="s">
        <v>143</v>
      </c>
      <c r="D509" t="s">
        <v>9</v>
      </c>
      <c r="E509" t="s">
        <v>9</v>
      </c>
      <c r="F509" t="s">
        <v>10</v>
      </c>
      <c r="G509" t="s">
        <v>11</v>
      </c>
      <c r="H509" s="1" t="str">
        <f>HYPERLINK("http://apps.fcc.gov/ecfs/document/view?id=7520944219","  (1 page)")</f>
        <v>  (1 page)</v>
      </c>
    </row>
    <row r="510" spans="1:8" ht="12.75">
      <c r="A510" t="s">
        <v>6</v>
      </c>
      <c r="B510" s="4" t="s">
        <v>445</v>
      </c>
      <c r="D510" t="s">
        <v>333</v>
      </c>
      <c r="E510" t="s">
        <v>333</v>
      </c>
      <c r="F510" t="s">
        <v>10</v>
      </c>
      <c r="G510" t="s">
        <v>11</v>
      </c>
      <c r="H510" s="1" t="str">
        <f>HYPERLINK("http://apps.fcc.gov/ecfs/document/view?id=7520943292","  (1 page)")</f>
        <v>  (1 page)</v>
      </c>
    </row>
    <row r="511" spans="1:8" ht="12.75">
      <c r="A511" t="s">
        <v>6</v>
      </c>
      <c r="B511" s="4" t="s">
        <v>444</v>
      </c>
      <c r="D511" t="s">
        <v>333</v>
      </c>
      <c r="E511" t="s">
        <v>333</v>
      </c>
      <c r="F511" t="s">
        <v>10</v>
      </c>
      <c r="G511" t="s">
        <v>11</v>
      </c>
      <c r="H511" s="1" t="str">
        <f>HYPERLINK("http://apps.fcc.gov/ecfs/document/view?id=7520943406","  (1 page)")</f>
        <v>  (1 page)</v>
      </c>
    </row>
    <row r="512" spans="1:8" ht="12.75">
      <c r="A512" t="s">
        <v>6</v>
      </c>
      <c r="B512" s="4" t="s">
        <v>142</v>
      </c>
      <c r="D512" t="s">
        <v>9</v>
      </c>
      <c r="E512" t="s">
        <v>9</v>
      </c>
      <c r="F512" t="s">
        <v>10</v>
      </c>
      <c r="G512" t="s">
        <v>11</v>
      </c>
      <c r="H512" s="1" t="str">
        <f>HYPERLINK("http://apps.fcc.gov/ecfs/document/view?id=7520944223","  (1 page)")</f>
        <v>  (1 page)</v>
      </c>
    </row>
    <row r="513" spans="1:8" ht="12.75">
      <c r="A513" t="s">
        <v>6</v>
      </c>
      <c r="B513" s="4" t="s">
        <v>443</v>
      </c>
      <c r="D513" t="s">
        <v>333</v>
      </c>
      <c r="E513" t="s">
        <v>333</v>
      </c>
      <c r="F513" t="s">
        <v>10</v>
      </c>
      <c r="G513" t="s">
        <v>11</v>
      </c>
      <c r="H513" s="1" t="str">
        <f>HYPERLINK("http://apps.fcc.gov/ecfs/document/view?id=7520943407","  (1 page)")</f>
        <v>  (1 page)</v>
      </c>
    </row>
    <row r="514" spans="1:8" ht="12.75">
      <c r="A514" t="s">
        <v>6</v>
      </c>
      <c r="B514" s="4" t="s">
        <v>982</v>
      </c>
      <c r="C514" t="s">
        <v>591</v>
      </c>
      <c r="D514" t="s">
        <v>524</v>
      </c>
      <c r="E514" t="s">
        <v>524</v>
      </c>
      <c r="F514" t="s">
        <v>10</v>
      </c>
      <c r="G514" t="s">
        <v>11</v>
      </c>
      <c r="H514" s="1" t="str">
        <f>HYPERLINK("http://apps.fcc.gov/ecfs/document/view?id=7520943018","District Comment on E Rate NPRM (1 page)")</f>
        <v>District Comment on E Rate NPRM (1 page)</v>
      </c>
    </row>
    <row r="515" spans="1:8" ht="12.75">
      <c r="A515" t="s">
        <v>6</v>
      </c>
      <c r="B515" s="4" t="s">
        <v>141</v>
      </c>
      <c r="D515" t="s">
        <v>9</v>
      </c>
      <c r="E515" t="s">
        <v>9</v>
      </c>
      <c r="F515" t="s">
        <v>10</v>
      </c>
      <c r="G515" t="s">
        <v>11</v>
      </c>
      <c r="H515" s="1" t="str">
        <f>HYPERLINK("http://apps.fcc.gov/ecfs/document/view?id=7520944239","  (1 page)")</f>
        <v>  (1 page)</v>
      </c>
    </row>
    <row r="516" spans="1:8" ht="12.75">
      <c r="A516" t="s">
        <v>6</v>
      </c>
      <c r="B516" s="4" t="s">
        <v>318</v>
      </c>
      <c r="D516" t="s">
        <v>21</v>
      </c>
      <c r="E516" t="s">
        <v>21</v>
      </c>
      <c r="F516" t="s">
        <v>10</v>
      </c>
      <c r="G516" t="s">
        <v>11</v>
      </c>
      <c r="H516" s="1" t="str">
        <f>HYPERLINK("http://apps.fcc.gov/ecfs/document/view?id=7520943793"," (1 page)")</f>
        <v> (1 page)</v>
      </c>
    </row>
    <row r="517" spans="1:8" ht="12.75">
      <c r="A517" t="s">
        <v>6</v>
      </c>
      <c r="B517" s="4" t="s">
        <v>515</v>
      </c>
      <c r="D517" t="s">
        <v>333</v>
      </c>
      <c r="E517" t="s">
        <v>333</v>
      </c>
      <c r="F517" t="s">
        <v>10</v>
      </c>
      <c r="G517" t="s">
        <v>11</v>
      </c>
      <c r="H517" s="1" t="str">
        <f>HYPERLINK("http://apps.fcc.gov/ecfs/document/view?id=7520943253","  (1 page)")</f>
        <v>  (1 page)</v>
      </c>
    </row>
    <row r="518" spans="1:8" ht="12.75">
      <c r="A518" t="s">
        <v>6</v>
      </c>
      <c r="B518" s="4" t="s">
        <v>670</v>
      </c>
      <c r="D518" t="s">
        <v>553</v>
      </c>
      <c r="E518" t="s">
        <v>553</v>
      </c>
      <c r="F518" t="s">
        <v>10</v>
      </c>
      <c r="G518" t="s">
        <v>11</v>
      </c>
      <c r="H518" s="1" t="str">
        <f>HYPERLINK("http://apps.fcc.gov/ecfs/document/view?id=7520942696"," (1 page)")</f>
        <v> (1 page)</v>
      </c>
    </row>
    <row r="519" spans="1:8" ht="12.75">
      <c r="A519" t="s">
        <v>6</v>
      </c>
      <c r="B519" s="4" t="s">
        <v>655</v>
      </c>
      <c r="D519" t="s">
        <v>652</v>
      </c>
      <c r="E519" t="s">
        <v>598</v>
      </c>
      <c r="F519" t="s">
        <v>10</v>
      </c>
      <c r="G519" t="s">
        <v>11</v>
      </c>
      <c r="H519" s="1" t="str">
        <f>HYPERLINK("http://apps.fcc.gov/ecfs/document/view?id=7520942839"," (1 page)")</f>
        <v> (1 page)</v>
      </c>
    </row>
    <row r="520" spans="1:8" ht="12.75">
      <c r="A520" t="s">
        <v>6</v>
      </c>
      <c r="B520" s="4" t="s">
        <v>571</v>
      </c>
      <c r="D520" t="s">
        <v>524</v>
      </c>
      <c r="E520" t="s">
        <v>524</v>
      </c>
      <c r="F520" t="s">
        <v>10</v>
      </c>
      <c r="G520" t="s">
        <v>11</v>
      </c>
      <c r="H520" s="1" t="str">
        <f>HYPERLINK("http://apps.fcc.gov/ecfs/document/view?id=7520943067","  (1 page)")</f>
        <v>  (1 page)</v>
      </c>
    </row>
    <row r="521" spans="1:8" ht="12.75">
      <c r="A521" t="s">
        <v>6</v>
      </c>
      <c r="B521" s="4" t="s">
        <v>980</v>
      </c>
      <c r="C521" t="s">
        <v>17</v>
      </c>
      <c r="D521" t="s">
        <v>9</v>
      </c>
      <c r="E521" t="s">
        <v>9</v>
      </c>
      <c r="F521" t="s">
        <v>10</v>
      </c>
      <c r="G521" t="s">
        <v>11</v>
      </c>
      <c r="H521" s="1" t="str">
        <f>HYPERLINK("http://apps.fcc.gov/ecfs/document/view?id=7520944262","  (1 page)")</f>
        <v>  (1 page)</v>
      </c>
    </row>
    <row r="522" spans="1:8" ht="12.75">
      <c r="A522" t="s">
        <v>6</v>
      </c>
      <c r="B522" s="4" t="s">
        <v>570</v>
      </c>
      <c r="D522" t="s">
        <v>524</v>
      </c>
      <c r="E522" t="s">
        <v>524</v>
      </c>
      <c r="F522" t="s">
        <v>10</v>
      </c>
      <c r="G522" t="s">
        <v>11</v>
      </c>
      <c r="H522" s="1" t="str">
        <f>HYPERLINK("http://apps.fcc.gov/ecfs/document/view?id=7520943070"," (1 page)")</f>
        <v> (1 page)</v>
      </c>
    </row>
    <row r="523" spans="1:8" ht="12.75">
      <c r="A523" t="s">
        <v>6</v>
      </c>
      <c r="B523" s="4" t="s">
        <v>569</v>
      </c>
      <c r="D523" t="s">
        <v>524</v>
      </c>
      <c r="E523" t="s">
        <v>524</v>
      </c>
      <c r="F523" t="s">
        <v>10</v>
      </c>
      <c r="G523" t="s">
        <v>11</v>
      </c>
      <c r="H523" s="1" t="str">
        <f>HYPERLINK("http://apps.fcc.gov/ecfs/document/view?id=7520943075"," (1 page)")</f>
        <v> (1 page)</v>
      </c>
    </row>
    <row r="524" spans="1:8" ht="12.75">
      <c r="A524" t="s">
        <v>6</v>
      </c>
      <c r="B524" s="4" t="s">
        <v>442</v>
      </c>
      <c r="D524" t="s">
        <v>333</v>
      </c>
      <c r="E524" t="s">
        <v>333</v>
      </c>
      <c r="F524" t="s">
        <v>10</v>
      </c>
      <c r="G524" t="s">
        <v>11</v>
      </c>
      <c r="H524" s="1" t="str">
        <f>HYPERLINK("http://apps.fcc.gov/ecfs/document/view?id=7520943329","  (1 page)")</f>
        <v>  (1 page)</v>
      </c>
    </row>
    <row r="525" spans="1:8" ht="12.75">
      <c r="A525" t="s">
        <v>6</v>
      </c>
      <c r="B525" s="4" t="s">
        <v>320</v>
      </c>
      <c r="D525" t="s">
        <v>21</v>
      </c>
      <c r="E525" t="s">
        <v>21</v>
      </c>
      <c r="F525" t="s">
        <v>10</v>
      </c>
      <c r="G525" t="s">
        <v>11</v>
      </c>
      <c r="H525" s="1" t="str">
        <f>HYPERLINK("http://apps.fcc.gov/ecfs/document/view?id=7520943779"," (1 page)")</f>
        <v> (1 page)</v>
      </c>
    </row>
    <row r="526" spans="1:8" ht="12.75">
      <c r="A526" t="s">
        <v>6</v>
      </c>
      <c r="B526" s="4" t="s">
        <v>534</v>
      </c>
      <c r="D526" t="s">
        <v>333</v>
      </c>
      <c r="E526" t="s">
        <v>333</v>
      </c>
      <c r="F526" t="s">
        <v>10</v>
      </c>
      <c r="G526" t="s">
        <v>11</v>
      </c>
      <c r="H526" s="1" t="str">
        <f>HYPERLINK("http://apps.fcc.gov/ecfs/document/view?id=7520943243","  (1 page)")</f>
        <v>  (1 page)</v>
      </c>
    </row>
    <row r="527" spans="1:8" ht="12.75">
      <c r="A527" t="s">
        <v>6</v>
      </c>
      <c r="B527" s="4" t="s">
        <v>758</v>
      </c>
      <c r="D527" t="s">
        <v>759</v>
      </c>
      <c r="E527" t="s">
        <v>759</v>
      </c>
      <c r="F527" t="s">
        <v>10</v>
      </c>
      <c r="G527" t="s">
        <v>11</v>
      </c>
      <c r="H527" s="1" t="str">
        <f>HYPERLINK("http://apps.fcc.gov/ecfs/document/view?id=7520939607"," (1 page)")</f>
        <v> (1 page)</v>
      </c>
    </row>
    <row r="528" spans="1:8" ht="12.75">
      <c r="A528" t="s">
        <v>6</v>
      </c>
      <c r="B528" s="4" t="s">
        <v>1044</v>
      </c>
      <c r="C528" t="s">
        <v>648</v>
      </c>
      <c r="D528" t="s">
        <v>598</v>
      </c>
      <c r="E528" t="s">
        <v>598</v>
      </c>
      <c r="F528" t="s">
        <v>10</v>
      </c>
      <c r="G528" t="s">
        <v>11</v>
      </c>
      <c r="H528" s="1" t="str">
        <f>HYPERLINK("http://apps.fcc.gov/ecfs/document/view?id=7520942880","  (1 page)")</f>
        <v>  (1 page)</v>
      </c>
    </row>
    <row r="529" spans="1:8" ht="12.75">
      <c r="A529" t="s">
        <v>6</v>
      </c>
      <c r="B529" s="4" t="s">
        <v>909</v>
      </c>
      <c r="C529" t="s">
        <v>441</v>
      </c>
      <c r="D529" t="s">
        <v>333</v>
      </c>
      <c r="E529" t="s">
        <v>333</v>
      </c>
      <c r="F529" t="s">
        <v>10</v>
      </c>
      <c r="G529" t="s">
        <v>11</v>
      </c>
      <c r="H529" s="1" t="str">
        <f>HYPERLINK("http://apps.fcc.gov/ecfs/document/view?id=7520943284","  (1 page)")</f>
        <v>  (1 page)</v>
      </c>
    </row>
    <row r="530" spans="1:8" ht="12.75">
      <c r="A530" t="s">
        <v>6</v>
      </c>
      <c r="B530" s="4" t="s">
        <v>440</v>
      </c>
      <c r="D530" t="s">
        <v>333</v>
      </c>
      <c r="E530" t="s">
        <v>333</v>
      </c>
      <c r="F530" t="s">
        <v>10</v>
      </c>
      <c r="G530" t="s">
        <v>11</v>
      </c>
      <c r="H530" s="1" t="str">
        <f>HYPERLINK("http://apps.fcc.gov/ecfs/document/view?id=7520943286","  (1 page)")</f>
        <v>  (1 page)</v>
      </c>
    </row>
    <row r="531" spans="1:8" ht="12.75">
      <c r="A531" t="s">
        <v>6</v>
      </c>
      <c r="B531" s="4" t="s">
        <v>514</v>
      </c>
      <c r="D531" t="s">
        <v>333</v>
      </c>
      <c r="E531" t="s">
        <v>333</v>
      </c>
      <c r="F531" t="s">
        <v>10</v>
      </c>
      <c r="G531" t="s">
        <v>11</v>
      </c>
      <c r="H531" s="1" t="str">
        <f>HYPERLINK("http://apps.fcc.gov/ecfs/document/view?id=7520943258","  (1 page)")</f>
        <v>  (1 page)</v>
      </c>
    </row>
    <row r="532" spans="1:9" ht="12.75">
      <c r="A532" t="s">
        <v>6</v>
      </c>
      <c r="B532" s="4" t="s">
        <v>816</v>
      </c>
      <c r="C532" t="s">
        <v>368</v>
      </c>
      <c r="D532" t="s">
        <v>333</v>
      </c>
      <c r="E532" t="s">
        <v>21</v>
      </c>
      <c r="F532" t="s">
        <v>10</v>
      </c>
      <c r="G532" t="s">
        <v>11</v>
      </c>
      <c r="H532" s="1" t="str">
        <f>HYPERLINK("http://apps.fcc.gov/ecfs/document/view?id=7520943467","  (1 page)")</f>
        <v>  (1 page)</v>
      </c>
      <c r="I532" s="1" t="str">
        <f>HYPERLINK("http://apps.fcc.gov/ecfs/document/view?id=7520943660","  (1 page)")</f>
        <v>  (1 page)</v>
      </c>
    </row>
    <row r="533" spans="1:8" ht="12.75">
      <c r="A533" t="s">
        <v>6</v>
      </c>
      <c r="B533" s="4" t="s">
        <v>908</v>
      </c>
      <c r="C533" t="s">
        <v>361</v>
      </c>
      <c r="D533" t="s">
        <v>333</v>
      </c>
      <c r="E533" t="s">
        <v>21</v>
      </c>
      <c r="F533" t="s">
        <v>10</v>
      </c>
      <c r="G533" t="s">
        <v>11</v>
      </c>
      <c r="H533" s="1" t="str">
        <f>HYPERLINK("http://apps.fcc.gov/ecfs/document/view?id=7520943468","  (1 page)")</f>
        <v>  (1 page)</v>
      </c>
    </row>
    <row r="534" spans="1:8" ht="12.75">
      <c r="A534" t="s">
        <v>6</v>
      </c>
      <c r="B534" s="4" t="s">
        <v>987</v>
      </c>
      <c r="C534" t="s">
        <v>622</v>
      </c>
      <c r="D534" t="s">
        <v>598</v>
      </c>
      <c r="E534" t="s">
        <v>524</v>
      </c>
      <c r="F534" t="s">
        <v>10</v>
      </c>
      <c r="G534" t="s">
        <v>11</v>
      </c>
      <c r="H534" s="1" t="str">
        <f>HYPERLINK("http://apps.fcc.gov/ecfs/document/view?id=7520942998","  (1 page)")</f>
        <v>  (1 page)</v>
      </c>
    </row>
    <row r="535" spans="1:8" ht="12.75">
      <c r="A535" t="s">
        <v>6</v>
      </c>
      <c r="B535" s="4" t="s">
        <v>1045</v>
      </c>
      <c r="C535" t="s">
        <v>251</v>
      </c>
      <c r="D535" t="s">
        <v>21</v>
      </c>
      <c r="E535" t="s">
        <v>9</v>
      </c>
      <c r="F535" t="s">
        <v>10</v>
      </c>
      <c r="G535" t="s">
        <v>11</v>
      </c>
      <c r="H535" s="1" t="str">
        <f>HYPERLINK("http://apps.fcc.gov/ecfs/document/view?id=7520944113","  (1 page)")</f>
        <v>  (1 page)</v>
      </c>
    </row>
    <row r="536" spans="1:8" ht="12.75">
      <c r="A536" t="s">
        <v>6</v>
      </c>
      <c r="B536" s="4" t="s">
        <v>830</v>
      </c>
      <c r="C536" t="s">
        <v>718</v>
      </c>
      <c r="D536" t="s">
        <v>717</v>
      </c>
      <c r="E536" t="s">
        <v>707</v>
      </c>
      <c r="F536" t="s">
        <v>10</v>
      </c>
      <c r="G536" t="s">
        <v>11</v>
      </c>
      <c r="H536" s="1" t="str">
        <f>HYPERLINK("http://apps.fcc.gov/ecfs/document/view?id=7520940509","E Rate letter (1 page)")</f>
        <v>E Rate letter (1 page)</v>
      </c>
    </row>
    <row r="537" spans="1:8" ht="12.75">
      <c r="A537" t="s">
        <v>6</v>
      </c>
      <c r="B537" s="4" t="s">
        <v>871</v>
      </c>
      <c r="C537" t="s">
        <v>13</v>
      </c>
      <c r="D537" t="s">
        <v>9</v>
      </c>
      <c r="E537" t="s">
        <v>9</v>
      </c>
      <c r="F537" t="s">
        <v>10</v>
      </c>
      <c r="G537" t="s">
        <v>11</v>
      </c>
      <c r="H537" s="1" t="str">
        <f>HYPERLINK("http://apps.fcc.gov/ecfs/document/view?id=7520944263","  (1 page)")</f>
        <v>  (1 page)</v>
      </c>
    </row>
    <row r="538" spans="1:8" ht="12.75">
      <c r="A538" t="s">
        <v>6</v>
      </c>
      <c r="B538" s="4" t="s">
        <v>439</v>
      </c>
      <c r="D538" t="s">
        <v>333</v>
      </c>
      <c r="E538" t="s">
        <v>333</v>
      </c>
      <c r="F538" t="s">
        <v>10</v>
      </c>
      <c r="G538" t="s">
        <v>11</v>
      </c>
      <c r="H538" s="1" t="str">
        <f>HYPERLINK("http://apps.fcc.gov/ecfs/document/view?id=7520943395","  (1 page)")</f>
        <v>  (1 page)</v>
      </c>
    </row>
    <row r="539" spans="1:8" ht="12.75">
      <c r="A539" t="s">
        <v>6</v>
      </c>
      <c r="B539" s="4" t="s">
        <v>12</v>
      </c>
      <c r="D539" t="s">
        <v>9</v>
      </c>
      <c r="E539" t="s">
        <v>9</v>
      </c>
      <c r="F539" t="s">
        <v>10</v>
      </c>
      <c r="G539" t="s">
        <v>11</v>
      </c>
      <c r="H539" s="1" t="str">
        <f>HYPERLINK("http://apps.fcc.gov/ecfs/document/view?id=7520944267","  (1 page)")</f>
        <v>  (1 page)</v>
      </c>
    </row>
    <row r="540" spans="1:8" ht="12.75">
      <c r="A540" t="s">
        <v>6</v>
      </c>
      <c r="B540" s="4" t="s">
        <v>533</v>
      </c>
      <c r="D540" t="s">
        <v>333</v>
      </c>
      <c r="E540" t="s">
        <v>333</v>
      </c>
      <c r="F540" t="s">
        <v>10</v>
      </c>
      <c r="G540" t="s">
        <v>11</v>
      </c>
      <c r="H540" s="1" t="str">
        <f>HYPERLINK("http://apps.fcc.gov/ecfs/document/view?id=7520943248","  (1 page)")</f>
        <v>  (1 page)</v>
      </c>
    </row>
    <row r="541" spans="1:9" ht="12.75">
      <c r="A541" t="s">
        <v>6</v>
      </c>
      <c r="B541" s="4" t="s">
        <v>513</v>
      </c>
      <c r="D541" t="s">
        <v>524</v>
      </c>
      <c r="E541" t="s">
        <v>333</v>
      </c>
      <c r="F541" t="s">
        <v>10</v>
      </c>
      <c r="G541" t="s">
        <v>11</v>
      </c>
      <c r="H541" s="1" t="str">
        <f>HYPERLINK("http://apps.fcc.gov/ecfs/document/view?id=7520943146","  (1 page)")</f>
        <v>  (1 page)</v>
      </c>
      <c r="I541" s="1"/>
    </row>
    <row r="542" spans="1:8" ht="12.75">
      <c r="A542" t="s">
        <v>6</v>
      </c>
      <c r="B542" s="4" t="s">
        <v>1152</v>
      </c>
      <c r="C542" t="s">
        <v>1133</v>
      </c>
      <c r="D542" t="s">
        <v>1070</v>
      </c>
      <c r="E542" t="s">
        <v>1109</v>
      </c>
      <c r="F542" t="s">
        <v>10</v>
      </c>
      <c r="G542" t="s">
        <v>11</v>
      </c>
      <c r="H542" s="1" t="str">
        <f>HYPERLINK("http://apps.fcc.gov/ecfs/document/view?id=7520944444","  (1 page)")</f>
        <v>  (1 page)</v>
      </c>
    </row>
    <row r="543" spans="1:8" ht="12.75">
      <c r="A543" t="s">
        <v>6</v>
      </c>
      <c r="B543" s="4" t="s">
        <v>436</v>
      </c>
      <c r="D543" t="s">
        <v>333</v>
      </c>
      <c r="E543" t="s">
        <v>333</v>
      </c>
      <c r="F543" t="s">
        <v>10</v>
      </c>
      <c r="G543" t="s">
        <v>11</v>
      </c>
      <c r="H543" s="1" t="str">
        <f>HYPERLINK("http://apps.fcc.gov/ecfs/document/view?id=7520943320","  (1 page)")</f>
        <v>  (1 page)</v>
      </c>
    </row>
    <row r="544" spans="1:8" ht="12.75">
      <c r="A544" t="s">
        <v>6</v>
      </c>
      <c r="B544" s="4" t="s">
        <v>821</v>
      </c>
      <c r="C544" t="s">
        <v>771</v>
      </c>
      <c r="D544" t="s">
        <v>770</v>
      </c>
      <c r="E544" t="s">
        <v>768</v>
      </c>
      <c r="F544" t="s">
        <v>10</v>
      </c>
      <c r="G544" t="s">
        <v>11</v>
      </c>
      <c r="H544" s="1" t="str">
        <f>HYPERLINK("http://apps.fcc.gov/ecfs/document/view?id=7520938107"," (1 page)")</f>
        <v> (1 page)</v>
      </c>
    </row>
    <row r="545" spans="1:8" ht="12.75">
      <c r="A545" t="s">
        <v>6</v>
      </c>
      <c r="B545" s="4" t="s">
        <v>1004</v>
      </c>
      <c r="C545" t="s">
        <v>481</v>
      </c>
      <c r="D545" t="s">
        <v>333</v>
      </c>
      <c r="E545" t="s">
        <v>333</v>
      </c>
      <c r="F545" t="s">
        <v>10</v>
      </c>
      <c r="G545" t="s">
        <v>11</v>
      </c>
      <c r="H545" s="1" t="str">
        <f>HYPERLINK("http://apps.fcc.gov/ecfs/document/view?id=7520943310","  (1 page)")</f>
        <v>  (1 page)</v>
      </c>
    </row>
    <row r="546" spans="1:8" ht="12.75">
      <c r="A546" t="s">
        <v>6</v>
      </c>
      <c r="B546" s="4" t="s">
        <v>435</v>
      </c>
      <c r="D546" t="s">
        <v>333</v>
      </c>
      <c r="E546" t="s">
        <v>333</v>
      </c>
      <c r="F546" t="s">
        <v>10</v>
      </c>
      <c r="G546" t="s">
        <v>11</v>
      </c>
      <c r="H546" s="1" t="str">
        <f>HYPERLINK("http://apps.fcc.gov/ecfs/document/view?id=7520943305","  (1 page)")</f>
        <v>  (1 page)</v>
      </c>
    </row>
    <row r="547" spans="1:8" ht="12.75">
      <c r="A547" t="s">
        <v>6</v>
      </c>
      <c r="B547" s="4" t="s">
        <v>1132</v>
      </c>
      <c r="D547" t="s">
        <v>1070</v>
      </c>
      <c r="E547" t="s">
        <v>1109</v>
      </c>
      <c r="F547" t="s">
        <v>10</v>
      </c>
      <c r="G547" t="s">
        <v>11</v>
      </c>
      <c r="H547" s="1" t="str">
        <f>HYPERLINK("http://apps.fcc.gov/ecfs/document/view?id=7520944459","  (1 page)")</f>
        <v>  (1 page)</v>
      </c>
    </row>
    <row r="548" spans="1:8" ht="12.75">
      <c r="A548" t="s">
        <v>6</v>
      </c>
      <c r="B548" s="4" t="s">
        <v>128</v>
      </c>
      <c r="D548" t="s">
        <v>9</v>
      </c>
      <c r="E548" t="s">
        <v>9</v>
      </c>
      <c r="F548" t="s">
        <v>10</v>
      </c>
      <c r="G548" t="s">
        <v>11</v>
      </c>
      <c r="H548" s="1" t="str">
        <f>HYPERLINK("http://apps.fcc.gov/ecfs/document/view?id=7520944217","  (1 page)")</f>
        <v>  (1 page)</v>
      </c>
    </row>
    <row r="549" spans="1:8" ht="12.75">
      <c r="A549" t="s">
        <v>6</v>
      </c>
      <c r="B549" s="4" t="s">
        <v>432</v>
      </c>
      <c r="D549" t="s">
        <v>333</v>
      </c>
      <c r="E549" t="s">
        <v>333</v>
      </c>
      <c r="F549" t="s">
        <v>10</v>
      </c>
      <c r="G549" t="s">
        <v>11</v>
      </c>
      <c r="H549" s="1" t="str">
        <f>HYPERLINK("http://apps.fcc.gov/ecfs/document/view?id=7520943287","  (1 page)")</f>
        <v>  (1 page)</v>
      </c>
    </row>
    <row r="550" spans="1:8" ht="12.75">
      <c r="A550" t="s">
        <v>6</v>
      </c>
      <c r="B550" s="4" t="s">
        <v>1055</v>
      </c>
      <c r="C550" t="s">
        <v>483</v>
      </c>
      <c r="D550" t="s">
        <v>333</v>
      </c>
      <c r="E550" t="s">
        <v>333</v>
      </c>
      <c r="F550" t="s">
        <v>10</v>
      </c>
      <c r="G550" t="s">
        <v>11</v>
      </c>
      <c r="H550" s="1" t="str">
        <f>HYPERLINK("http://apps.fcc.gov/ecfs/document/view?id=7520943440","  (1 page)")</f>
        <v>  (1 page)</v>
      </c>
    </row>
    <row r="551" spans="1:8" ht="12.75">
      <c r="A551" t="s">
        <v>6</v>
      </c>
      <c r="B551" s="4" t="s">
        <v>920</v>
      </c>
      <c r="C551" t="s">
        <v>612</v>
      </c>
      <c r="D551" t="s">
        <v>598</v>
      </c>
      <c r="E551" t="s">
        <v>524</v>
      </c>
      <c r="F551" t="s">
        <v>10</v>
      </c>
      <c r="G551" t="s">
        <v>11</v>
      </c>
      <c r="H551" s="1" t="str">
        <f>HYPERLINK("http://apps.fcc.gov/ecfs/document/view?id=7520942949","Madison City Schools Comment on E Rate NPRM (1 page)")</f>
        <v>Madison City Schools Comment on E Rate NPRM (1 page)</v>
      </c>
    </row>
    <row r="552" spans="1:8" ht="12.75">
      <c r="A552" t="s">
        <v>6</v>
      </c>
      <c r="B552" s="4" t="s">
        <v>825</v>
      </c>
      <c r="C552" t="s">
        <v>339</v>
      </c>
      <c r="D552" t="s">
        <v>21</v>
      </c>
      <c r="E552" t="s">
        <v>21</v>
      </c>
      <c r="F552" t="s">
        <v>10</v>
      </c>
      <c r="G552" t="s">
        <v>11</v>
      </c>
      <c r="H552" s="1" t="str">
        <f>HYPERLINK("http://apps.fcc.gov/ecfs/document/view?id=7520943750","  (1 page)")</f>
        <v>  (1 page)</v>
      </c>
    </row>
    <row r="553" spans="1:8" ht="12.75">
      <c r="A553" t="s">
        <v>6</v>
      </c>
      <c r="B553" s="4" t="s">
        <v>511</v>
      </c>
      <c r="D553" t="s">
        <v>333</v>
      </c>
      <c r="E553" t="s">
        <v>333</v>
      </c>
      <c r="F553" t="s">
        <v>10</v>
      </c>
      <c r="G553" t="s">
        <v>11</v>
      </c>
      <c r="H553" s="1" t="str">
        <f>HYPERLINK("http://apps.fcc.gov/ecfs/document/view?id=7520943273"," (1 page)")</f>
        <v> (1 page)</v>
      </c>
    </row>
    <row r="554" spans="1:8" ht="12.75">
      <c r="A554" t="s">
        <v>6</v>
      </c>
      <c r="B554" s="4" t="s">
        <v>818</v>
      </c>
      <c r="C554" t="s">
        <v>554</v>
      </c>
      <c r="D554" t="s">
        <v>524</v>
      </c>
      <c r="E554" t="s">
        <v>524</v>
      </c>
      <c r="F554" t="s">
        <v>10</v>
      </c>
      <c r="G554" t="s">
        <v>11</v>
      </c>
      <c r="H554" s="1" t="str">
        <f>HYPERLINK("http://apps.fcc.gov/ecfs/document/view?id=7520943038","Marengo County School District Comment on E Rate NPRM (1 page)")</f>
        <v>Marengo County School District Comment on E Rate NPRM (1 page)</v>
      </c>
    </row>
    <row r="555" spans="1:8" ht="12.75">
      <c r="A555" t="s">
        <v>6</v>
      </c>
      <c r="B555" s="4" t="s">
        <v>431</v>
      </c>
      <c r="D555" t="s">
        <v>333</v>
      </c>
      <c r="E555" t="s">
        <v>333</v>
      </c>
      <c r="F555" t="s">
        <v>10</v>
      </c>
      <c r="G555" t="s">
        <v>11</v>
      </c>
      <c r="H555" s="1" t="str">
        <f>HYPERLINK("http://apps.fcc.gov/ecfs/document/view?id=7520943303","  (1 page)")</f>
        <v>  (1 page)</v>
      </c>
    </row>
    <row r="556" spans="1:8" ht="12.75">
      <c r="A556" t="s">
        <v>6</v>
      </c>
      <c r="B556" s="4" t="s">
        <v>763</v>
      </c>
      <c r="D556" t="s">
        <v>764</v>
      </c>
      <c r="E556" t="s">
        <v>765</v>
      </c>
      <c r="F556" t="s">
        <v>10</v>
      </c>
      <c r="G556" t="s">
        <v>11</v>
      </c>
      <c r="H556" s="1" t="str">
        <f>HYPERLINK("http://apps.fcc.gov/ecfs/document/view?id=7520939158"," (1 page)")</f>
        <v> (1 page)</v>
      </c>
    </row>
    <row r="557" spans="1:8" ht="12.75">
      <c r="A557" t="s">
        <v>6</v>
      </c>
      <c r="B557" s="4" t="s">
        <v>690</v>
      </c>
      <c r="D557" t="s">
        <v>673</v>
      </c>
      <c r="E557" t="s">
        <v>673</v>
      </c>
      <c r="F557" t="s">
        <v>10</v>
      </c>
      <c r="G557" t="s">
        <v>11</v>
      </c>
      <c r="H557" s="1" t="str">
        <f>HYPERLINK("http://apps.fcc.gov/ecfs/document/view?id=7520942526"," (1 page)")</f>
        <v> (1 page)</v>
      </c>
    </row>
    <row r="558" spans="1:8" ht="12.75">
      <c r="A558" t="s">
        <v>6</v>
      </c>
      <c r="B558" s="4" t="s">
        <v>778</v>
      </c>
      <c r="D558" t="s">
        <v>770</v>
      </c>
      <c r="E558" t="s">
        <v>768</v>
      </c>
      <c r="F558" t="s">
        <v>10</v>
      </c>
      <c r="G558" t="s">
        <v>11</v>
      </c>
      <c r="H558" s="1" t="str">
        <f>HYPERLINK("http://apps.fcc.gov/ecfs/document/view?id=7520938278"," (1 page)")</f>
        <v> (1 page)</v>
      </c>
    </row>
    <row r="559" spans="1:8" ht="12.75">
      <c r="A559" t="s">
        <v>6</v>
      </c>
      <c r="B559" s="4" t="s">
        <v>429</v>
      </c>
      <c r="D559" t="s">
        <v>1109</v>
      </c>
      <c r="E559" t="s">
        <v>1109</v>
      </c>
      <c r="F559" t="s">
        <v>10</v>
      </c>
      <c r="G559" t="s">
        <v>11</v>
      </c>
      <c r="H559" s="1" t="str">
        <f>HYPERLINK("http://apps.fcc.gov/ecfs/document/view?id=7520944709","  (1 page)")</f>
        <v>  (1 page)</v>
      </c>
    </row>
    <row r="560" spans="1:8" ht="12.75">
      <c r="A560" t="s">
        <v>6</v>
      </c>
      <c r="B560" s="4" t="s">
        <v>123</v>
      </c>
      <c r="D560" t="s">
        <v>9</v>
      </c>
      <c r="E560" t="s">
        <v>9</v>
      </c>
      <c r="F560" t="s">
        <v>10</v>
      </c>
      <c r="G560" t="s">
        <v>11</v>
      </c>
      <c r="H560" s="1" t="str">
        <f>HYPERLINK("http://apps.fcc.gov/ecfs/document/view?id=7520944259","  (1 page)")</f>
        <v>  (1 page)</v>
      </c>
    </row>
    <row r="561" spans="1:8" ht="12.75">
      <c r="A561" t="s">
        <v>6</v>
      </c>
      <c r="B561" s="4" t="s">
        <v>428</v>
      </c>
      <c r="D561" t="s">
        <v>333</v>
      </c>
      <c r="E561" t="s">
        <v>333</v>
      </c>
      <c r="F561" t="s">
        <v>10</v>
      </c>
      <c r="G561" t="s">
        <v>11</v>
      </c>
      <c r="H561" s="1" t="str">
        <f>HYPERLINK("http://apps.fcc.gov/ecfs/document/view?id=7520943311","  (1 page)")</f>
        <v>  (1 page)</v>
      </c>
    </row>
    <row r="562" spans="1:8" ht="12.75">
      <c r="A562" t="s">
        <v>6</v>
      </c>
      <c r="B562" s="4" t="s">
        <v>894</v>
      </c>
      <c r="D562" t="s">
        <v>333</v>
      </c>
      <c r="E562" t="s">
        <v>333</v>
      </c>
      <c r="F562" t="s">
        <v>10</v>
      </c>
      <c r="G562" t="s">
        <v>11</v>
      </c>
      <c r="H562" s="1" t="str">
        <f>HYPERLINK("http://apps.fcc.gov/ecfs/document/view?id=7520943290","  (1 page)")</f>
        <v>  (1 page)</v>
      </c>
    </row>
    <row r="563" spans="1:8" ht="12.75">
      <c r="A563" t="s">
        <v>6</v>
      </c>
      <c r="B563" s="4" t="s">
        <v>1023</v>
      </c>
      <c r="C563" t="s">
        <v>380</v>
      </c>
      <c r="D563" t="s">
        <v>333</v>
      </c>
      <c r="E563" t="s">
        <v>21</v>
      </c>
      <c r="F563" t="s">
        <v>10</v>
      </c>
      <c r="G563" t="s">
        <v>11</v>
      </c>
      <c r="H563" s="1" t="str">
        <f>HYPERLINK("http://apps.fcc.gov/ecfs/document/view?id=7520943491","Mary Queen of Apostles School Comment on E Rate NPRM  (1 page)")</f>
        <v>Mary Queen of Apostles School Comment on E Rate NPRM  (1 page)</v>
      </c>
    </row>
    <row r="564" spans="1:8" ht="12.75">
      <c r="A564" t="s">
        <v>6</v>
      </c>
      <c r="B564" s="4" t="s">
        <v>607</v>
      </c>
      <c r="D564" t="s">
        <v>598</v>
      </c>
      <c r="E564" t="s">
        <v>524</v>
      </c>
      <c r="F564" t="s">
        <v>10</v>
      </c>
      <c r="G564" t="s">
        <v>11</v>
      </c>
      <c r="H564" s="1" t="str">
        <f>HYPERLINK("http://apps.fcc.gov/ecfs/document/view?id=7520943001","  (1 page)")</f>
        <v>  (1 page)</v>
      </c>
    </row>
    <row r="565" spans="1:8" ht="12.75">
      <c r="A565" t="s">
        <v>6</v>
      </c>
      <c r="B565" s="4" t="s">
        <v>681</v>
      </c>
      <c r="D565" t="s">
        <v>673</v>
      </c>
      <c r="E565" t="s">
        <v>673</v>
      </c>
      <c r="F565" t="s">
        <v>10</v>
      </c>
      <c r="G565" t="s">
        <v>11</v>
      </c>
      <c r="H565" s="1" t="str">
        <f>HYPERLINK("http://apps.fcc.gov/ecfs/document/view?id=7520942565"," (1 page)")</f>
        <v> (1 page)</v>
      </c>
    </row>
    <row r="566" spans="1:8" ht="12.75">
      <c r="A566" t="s">
        <v>6</v>
      </c>
      <c r="B566" s="4" t="s">
        <v>510</v>
      </c>
      <c r="D566" t="s">
        <v>333</v>
      </c>
      <c r="E566" t="s">
        <v>333</v>
      </c>
      <c r="F566" t="s">
        <v>10</v>
      </c>
      <c r="G566" t="s">
        <v>11</v>
      </c>
      <c r="H566" s="1" t="str">
        <f>HYPERLINK("http://apps.fcc.gov/ecfs/document/view?id=7520943254","  (1 page)")</f>
        <v>  (1 page)</v>
      </c>
    </row>
    <row r="567" spans="1:8" ht="12.75">
      <c r="A567" t="s">
        <v>6</v>
      </c>
      <c r="B567" s="4" t="s">
        <v>1017</v>
      </c>
      <c r="C567" t="s">
        <v>206</v>
      </c>
      <c r="D567" t="s">
        <v>21</v>
      </c>
      <c r="E567" t="s">
        <v>9</v>
      </c>
      <c r="F567" t="s">
        <v>10</v>
      </c>
      <c r="G567" t="s">
        <v>11</v>
      </c>
      <c r="H567" s="1" t="str">
        <f>HYPERLINK("http://apps.fcc.gov/ecfs/document/view?id=7520944096","Mecosta Osceola (1 page)")</f>
        <v>Mecosta Osceola (1 page)</v>
      </c>
    </row>
    <row r="568" spans="1:8" ht="12.75">
      <c r="A568" t="s">
        <v>6</v>
      </c>
      <c r="B568" s="4" t="s">
        <v>509</v>
      </c>
      <c r="D568" t="s">
        <v>333</v>
      </c>
      <c r="E568" t="s">
        <v>333</v>
      </c>
      <c r="F568" t="s">
        <v>10</v>
      </c>
      <c r="G568" t="s">
        <v>11</v>
      </c>
      <c r="H568" s="1" t="str">
        <f>HYPERLINK("http://apps.fcc.gov/ecfs/document/view?id=7520943262","  (1 page)")</f>
        <v>  (1 page)</v>
      </c>
    </row>
    <row r="569" spans="1:8" ht="12.75">
      <c r="A569" t="s">
        <v>6</v>
      </c>
      <c r="B569" s="4" t="s">
        <v>357</v>
      </c>
      <c r="D569" t="s">
        <v>333</v>
      </c>
      <c r="E569" t="s">
        <v>21</v>
      </c>
      <c r="F569" t="s">
        <v>10</v>
      </c>
      <c r="G569" t="s">
        <v>11</v>
      </c>
      <c r="H569" s="1" t="str">
        <f>HYPERLINK("http://apps.fcc.gov/ecfs/document/view?id=7520943483","Menifee USD Comments (1 page)")</f>
        <v>Menifee USD Comments (1 page)</v>
      </c>
    </row>
    <row r="570" spans="1:8" ht="12.75">
      <c r="A570" t="s">
        <v>6</v>
      </c>
      <c r="B570" s="4" t="s">
        <v>567</v>
      </c>
      <c r="D570" t="s">
        <v>524</v>
      </c>
      <c r="E570" t="s">
        <v>524</v>
      </c>
      <c r="F570" t="s">
        <v>10</v>
      </c>
      <c r="G570" t="s">
        <v>11</v>
      </c>
      <c r="H570" s="1" t="str">
        <f>HYPERLINK("http://apps.fcc.gov/ecfs/document/view?id=7520943068","  (1 page)")</f>
        <v>  (1 page)</v>
      </c>
    </row>
    <row r="571" spans="1:8" ht="12.75">
      <c r="A571" t="s">
        <v>6</v>
      </c>
      <c r="B571" s="4" t="s">
        <v>680</v>
      </c>
      <c r="D571" t="s">
        <v>673</v>
      </c>
      <c r="E571" t="s">
        <v>673</v>
      </c>
      <c r="F571" t="s">
        <v>10</v>
      </c>
      <c r="G571" t="s">
        <v>11</v>
      </c>
      <c r="H571" s="1" t="str">
        <f>HYPERLINK("http://apps.fcc.gov/ecfs/document/view?id=7520942594","Miami ISD Comment on NPRM changes to Email web hosting (1 page)")</f>
        <v>Miami ISD Comment on NPRM changes to Email web hosting (1 page)</v>
      </c>
    </row>
    <row r="572" spans="1:8" ht="12.75">
      <c r="A572" t="s">
        <v>6</v>
      </c>
      <c r="B572" s="4" t="s">
        <v>355</v>
      </c>
      <c r="D572" t="s">
        <v>21</v>
      </c>
      <c r="E572" t="s">
        <v>21</v>
      </c>
      <c r="F572" t="s">
        <v>10</v>
      </c>
      <c r="G572" t="s">
        <v>11</v>
      </c>
      <c r="H572" s="1" t="str">
        <f>HYPERLINK("http://apps.fcc.gov/ecfs/document/view?id=7520943681"," (1 page)")</f>
        <v> (1 page)</v>
      </c>
    </row>
    <row r="573" spans="1:8" ht="12.75">
      <c r="A573" t="s">
        <v>6</v>
      </c>
      <c r="B573" s="4" t="s">
        <v>604</v>
      </c>
      <c r="D573" t="s">
        <v>598</v>
      </c>
      <c r="E573" t="s">
        <v>524</v>
      </c>
      <c r="F573" t="s">
        <v>10</v>
      </c>
      <c r="G573" t="s">
        <v>11</v>
      </c>
      <c r="H573" s="1" t="str">
        <f>HYPERLINK("http://apps.fcc.gov/ecfs/document/view?id=7520942999","  (1 page)")</f>
        <v>  (1 page)</v>
      </c>
    </row>
    <row r="574" spans="1:8" ht="12.75">
      <c r="A574" t="s">
        <v>6</v>
      </c>
      <c r="B574" s="4" t="s">
        <v>426</v>
      </c>
      <c r="D574" t="s">
        <v>333</v>
      </c>
      <c r="E574" t="s">
        <v>333</v>
      </c>
      <c r="F574" t="s">
        <v>10</v>
      </c>
      <c r="G574" t="s">
        <v>11</v>
      </c>
      <c r="H574" s="1" t="str">
        <f>HYPERLINK("http://apps.fcc.gov/ecfs/document/view?id=7520943412","  (1 page)")</f>
        <v>  (1 page)</v>
      </c>
    </row>
    <row r="575" spans="1:8" ht="12.75">
      <c r="A575" t="s">
        <v>6</v>
      </c>
      <c r="B575" s="4" t="s">
        <v>116</v>
      </c>
      <c r="D575" t="s">
        <v>9</v>
      </c>
      <c r="E575" t="s">
        <v>9</v>
      </c>
      <c r="F575" t="s">
        <v>10</v>
      </c>
      <c r="G575" t="s">
        <v>11</v>
      </c>
      <c r="H575" s="1" t="str">
        <f>HYPERLINK("http://apps.fcc.gov/ecfs/document/view?id=7520944221","  (1 page)")</f>
        <v>  (1 page)</v>
      </c>
    </row>
    <row r="576" spans="1:8" ht="12.75">
      <c r="A576" t="s">
        <v>6</v>
      </c>
      <c r="B576" s="4" t="s">
        <v>115</v>
      </c>
      <c r="D576" t="s">
        <v>9</v>
      </c>
      <c r="E576" t="s">
        <v>9</v>
      </c>
      <c r="F576" t="s">
        <v>10</v>
      </c>
      <c r="G576" t="s">
        <v>11</v>
      </c>
      <c r="H576" s="1" t="str">
        <f>HYPERLINK("http://apps.fcc.gov/ecfs/document/view?id=7520944248","  (1 page)")</f>
        <v>  (1 page)</v>
      </c>
    </row>
    <row r="577" spans="1:8" ht="12.75">
      <c r="A577" t="s">
        <v>6</v>
      </c>
      <c r="B577" s="4" t="s">
        <v>944</v>
      </c>
      <c r="C577" t="s">
        <v>615</v>
      </c>
      <c r="D577" t="s">
        <v>598</v>
      </c>
      <c r="E577" t="s">
        <v>524</v>
      </c>
      <c r="F577" t="s">
        <v>10</v>
      </c>
      <c r="G577" t="s">
        <v>11</v>
      </c>
      <c r="H577" s="1" t="str">
        <f>HYPERLINK("http://apps.fcc.gov/ecfs/document/view?id=7520942932"," (1 page)")</f>
        <v> (1 page)</v>
      </c>
    </row>
    <row r="578" spans="1:8" ht="12.75">
      <c r="A578" t="s">
        <v>6</v>
      </c>
      <c r="B578" s="4" t="s">
        <v>940</v>
      </c>
      <c r="C578" t="s">
        <v>637</v>
      </c>
      <c r="D578" t="s">
        <v>598</v>
      </c>
      <c r="E578" t="s">
        <v>598</v>
      </c>
      <c r="F578" t="s">
        <v>10</v>
      </c>
      <c r="G578" t="s">
        <v>11</v>
      </c>
      <c r="H578" s="1" t="str">
        <f>HYPERLINK("http://apps.fcc.gov/ecfs/document/view?id=7520942877","  (1 page)")</f>
        <v>  (1 page)</v>
      </c>
    </row>
    <row r="579" spans="1:8" ht="12.75">
      <c r="A579" t="s">
        <v>6</v>
      </c>
      <c r="B579" s="4" t="s">
        <v>807</v>
      </c>
      <c r="D579" t="s">
        <v>333</v>
      </c>
      <c r="E579" t="s">
        <v>333</v>
      </c>
      <c r="F579" t="s">
        <v>10</v>
      </c>
      <c r="G579" t="s">
        <v>11</v>
      </c>
      <c r="H579" s="1" t="str">
        <f>HYPERLINK("http://apps.fcc.gov/ecfs/document/view?id=7520943331","  (1 page)")</f>
        <v>  (1 page)</v>
      </c>
    </row>
    <row r="580" spans="1:16" ht="12.75">
      <c r="A580" t="s">
        <v>6</v>
      </c>
      <c r="B580" s="4" t="s">
        <v>896</v>
      </c>
      <c r="C580" t="s">
        <v>1092</v>
      </c>
      <c r="D580" t="s">
        <v>333</v>
      </c>
      <c r="E580" t="s">
        <v>333</v>
      </c>
      <c r="F580" t="s">
        <v>10</v>
      </c>
      <c r="G580" t="s">
        <v>11</v>
      </c>
      <c r="H580" s="1" t="str">
        <f>HYPERLINK("http://apps.fcc.gov/ecfs/document/view?id=7520943228"," (1 page)")</f>
        <v> (1 page)</v>
      </c>
      <c r="I580" s="1" t="str">
        <f>HYPERLINK("http://apps.fcc.gov/ecfs/document/view?id=7520943227"," (1 page)")</f>
        <v> (1 page)</v>
      </c>
      <c r="J580" s="1" t="str">
        <f>HYPERLINK("http://apps.fcc.gov/ecfs/document/view?id=7520943230"," (1 page)")</f>
        <v> (1 page)</v>
      </c>
      <c r="K580" s="1" t="str">
        <f>HYPERLINK("http://apps.fcc.gov/ecfs/document/view?id=7520943233"," (1 page)")</f>
        <v> (1 page)</v>
      </c>
      <c r="P580" s="1" t="str">
        <f>HYPERLINK("http://apps.fcc.gov/ecfs/document/view?id=7520944352"," (1 page)")</f>
        <v> (1 page)</v>
      </c>
    </row>
    <row r="581" spans="1:10" ht="12.75">
      <c r="A581" t="s">
        <v>6</v>
      </c>
      <c r="B581" s="4" t="s">
        <v>566</v>
      </c>
      <c r="D581" t="s">
        <v>524</v>
      </c>
      <c r="E581" t="s">
        <v>524</v>
      </c>
      <c r="F581" t="s">
        <v>10</v>
      </c>
      <c r="G581" t="s">
        <v>11</v>
      </c>
      <c r="H581" s="1" t="str">
        <f>HYPERLINK("http://apps.fcc.gov/ecfs/document/view?id=7520943062","  (1 page)")</f>
        <v>  (1 page)</v>
      </c>
      <c r="I581" s="1"/>
      <c r="J581" s="1"/>
    </row>
    <row r="582" spans="1:8" ht="12.75">
      <c r="A582" t="s">
        <v>6</v>
      </c>
      <c r="B582" s="4" t="s">
        <v>1000</v>
      </c>
      <c r="C582" t="s">
        <v>198</v>
      </c>
      <c r="D582" t="s">
        <v>21</v>
      </c>
      <c r="E582" t="s">
        <v>9</v>
      </c>
      <c r="F582" t="s">
        <v>10</v>
      </c>
      <c r="G582" t="s">
        <v>11</v>
      </c>
      <c r="H582" s="1" t="str">
        <f>HYPERLINK("http://apps.fcc.gov/ecfs/document/view?id=7520943943","  (1 page)")</f>
        <v>  (1 page)</v>
      </c>
    </row>
    <row r="583" spans="1:8" ht="12.75">
      <c r="A583" t="s">
        <v>6</v>
      </c>
      <c r="B583" s="4" t="s">
        <v>878</v>
      </c>
      <c r="D583" t="s">
        <v>21</v>
      </c>
      <c r="E583" t="s">
        <v>21</v>
      </c>
      <c r="F583" t="s">
        <v>10</v>
      </c>
      <c r="G583" t="s">
        <v>11</v>
      </c>
      <c r="H583" s="1" t="str">
        <f>HYPERLINK("http://apps.fcc.gov/ecfs/document/view?id=7520943837","  (1 page)")</f>
        <v>  (1 page)</v>
      </c>
    </row>
    <row r="584" spans="1:8" ht="12.75">
      <c r="A584" t="s">
        <v>6</v>
      </c>
      <c r="B584" s="4" t="s">
        <v>1130</v>
      </c>
      <c r="D584" t="s">
        <v>1070</v>
      </c>
      <c r="E584" t="s">
        <v>1109</v>
      </c>
      <c r="F584" t="s">
        <v>10</v>
      </c>
      <c r="G584" t="s">
        <v>11</v>
      </c>
      <c r="H584" s="1" t="str">
        <f>HYPERLINK("http://apps.fcc.gov/ecfs/document/view?id=7520944454","  (1 page)")</f>
        <v>  (1 page)</v>
      </c>
    </row>
    <row r="585" spans="1:8" ht="12.75">
      <c r="A585" t="s">
        <v>6</v>
      </c>
      <c r="B585" s="4" t="s">
        <v>109</v>
      </c>
      <c r="D585" t="s">
        <v>21</v>
      </c>
      <c r="E585" t="s">
        <v>9</v>
      </c>
      <c r="F585" t="s">
        <v>10</v>
      </c>
      <c r="G585" t="s">
        <v>11</v>
      </c>
      <c r="H585" s="1" t="str">
        <f>HYPERLINK("http://apps.fcc.gov/ecfs/document/view?id=7520943897","  (1 page)")</f>
        <v>  (1 page)</v>
      </c>
    </row>
    <row r="586" spans="1:8" ht="12.75">
      <c r="A586" t="s">
        <v>6</v>
      </c>
      <c r="B586" s="4" t="s">
        <v>992</v>
      </c>
      <c r="C586" t="s">
        <v>642</v>
      </c>
      <c r="D586" t="s">
        <v>598</v>
      </c>
      <c r="E586" t="s">
        <v>598</v>
      </c>
      <c r="F586" t="s">
        <v>10</v>
      </c>
      <c r="G586" t="s">
        <v>11</v>
      </c>
      <c r="H586" s="1" t="str">
        <f>HYPERLINK("http://apps.fcc.gov/ecfs/document/view?id=7520942908"," (1 page)")</f>
        <v> (1 page)</v>
      </c>
    </row>
    <row r="587" spans="1:8" ht="12.75">
      <c r="A587" t="s">
        <v>6</v>
      </c>
      <c r="B587" s="4" t="s">
        <v>646</v>
      </c>
      <c r="C587" t="s">
        <v>645</v>
      </c>
      <c r="D587" t="s">
        <v>598</v>
      </c>
      <c r="E587" t="s">
        <v>598</v>
      </c>
      <c r="F587" t="s">
        <v>10</v>
      </c>
      <c r="G587" t="s">
        <v>11</v>
      </c>
      <c r="H587" s="1" t="str">
        <f>HYPERLINK("http://apps.fcc.gov/ecfs/document/view?id=7520942876","Navasota ISD Comment on E Rate NPRM (1 page)")</f>
        <v>Navasota ISD Comment on E Rate NPRM (1 page)</v>
      </c>
    </row>
    <row r="588" spans="1:8" ht="12.75">
      <c r="A588" t="s">
        <v>6</v>
      </c>
      <c r="B588" s="4" t="s">
        <v>817</v>
      </c>
      <c r="C588" t="s">
        <v>734</v>
      </c>
      <c r="D588" t="s">
        <v>728</v>
      </c>
      <c r="E588" t="s">
        <v>728</v>
      </c>
      <c r="F588" t="s">
        <v>10</v>
      </c>
      <c r="G588" t="s">
        <v>11</v>
      </c>
      <c r="H588" s="1" t="str">
        <f>HYPERLINK("http://apps.fcc.gov/ecfs/document/view?id=7520940300","  (1 page)")</f>
        <v>  (1 page)</v>
      </c>
    </row>
    <row r="589" spans="1:8" ht="12.75">
      <c r="A589" t="s">
        <v>6</v>
      </c>
      <c r="B589" s="4" t="s">
        <v>845</v>
      </c>
      <c r="C589" t="s">
        <v>632</v>
      </c>
      <c r="D589" t="s">
        <v>598</v>
      </c>
      <c r="E589" t="s">
        <v>598</v>
      </c>
      <c r="F589" t="s">
        <v>10</v>
      </c>
      <c r="G589" t="s">
        <v>11</v>
      </c>
      <c r="H589" s="1" t="str">
        <f>HYPERLINK("http://apps.fcc.gov/ecfs/document/view?id=7520942915","New Haven Unified School District Comment on E Rate NPRM (1 page)")</f>
        <v>New Haven Unified School District Comment on E Rate NPRM (1 page)</v>
      </c>
    </row>
    <row r="590" spans="1:8" ht="12.75">
      <c r="A590" t="s">
        <v>6</v>
      </c>
      <c r="B590" s="4" t="s">
        <v>1009</v>
      </c>
      <c r="C590" t="s">
        <v>202</v>
      </c>
      <c r="D590" t="s">
        <v>9</v>
      </c>
      <c r="E590" t="s">
        <v>9</v>
      </c>
      <c r="F590" t="s">
        <v>10</v>
      </c>
      <c r="G590" t="s">
        <v>11</v>
      </c>
      <c r="H590" s="1" t="str">
        <f>HYPERLINK("http://apps.fcc.gov/ecfs/document/view?id=7520944214","  (1 page)")</f>
        <v>  (1 page)</v>
      </c>
    </row>
    <row r="591" spans="1:8" ht="12.75">
      <c r="A591" t="s">
        <v>6</v>
      </c>
      <c r="B591" s="4" t="s">
        <v>820</v>
      </c>
      <c r="C591" t="s">
        <v>34</v>
      </c>
      <c r="D591" t="s">
        <v>9</v>
      </c>
      <c r="E591" t="s">
        <v>9</v>
      </c>
      <c r="F591" t="s">
        <v>10</v>
      </c>
      <c r="G591" t="s">
        <v>11</v>
      </c>
      <c r="H591" s="1" t="str">
        <f>HYPERLINK("http://apps.fcc.gov/ecfs/document/view?id=7520944232","  (1 page)")</f>
        <v>  (1 page)</v>
      </c>
    </row>
    <row r="592" spans="1:9" ht="12.75">
      <c r="A592" t="s">
        <v>6</v>
      </c>
      <c r="B592" s="4" t="s">
        <v>950</v>
      </c>
      <c r="C592" t="s">
        <v>577</v>
      </c>
      <c r="D592" t="s">
        <v>524</v>
      </c>
      <c r="E592" t="s">
        <v>524</v>
      </c>
      <c r="F592" t="s">
        <v>10</v>
      </c>
      <c r="G592" t="s">
        <v>11</v>
      </c>
      <c r="H592" s="1" t="str">
        <f>HYPERLINK("http://apps.fcc.gov/ecfs/document/view?id=7520943089","  (1 page)")</f>
        <v>  (1 page)</v>
      </c>
      <c r="I592" s="1"/>
    </row>
    <row r="593" spans="1:8" ht="12.75">
      <c r="A593" t="s">
        <v>6</v>
      </c>
      <c r="B593" s="4" t="s">
        <v>688</v>
      </c>
      <c r="D593" t="s">
        <v>673</v>
      </c>
      <c r="E593" t="s">
        <v>673</v>
      </c>
      <c r="F593" t="s">
        <v>10</v>
      </c>
      <c r="G593" t="s">
        <v>11</v>
      </c>
      <c r="H593" s="1" t="str">
        <f>HYPERLINK("http://apps.fcc.gov/ecfs/document/view?id=7520942514"," (1 page)")</f>
        <v> (1 page)</v>
      </c>
    </row>
    <row r="594" spans="1:8" ht="12.75">
      <c r="A594" t="s">
        <v>6</v>
      </c>
      <c r="B594" s="4" t="s">
        <v>767</v>
      </c>
      <c r="D594" t="s">
        <v>768</v>
      </c>
      <c r="E594" t="s">
        <v>764</v>
      </c>
      <c r="F594" t="s">
        <v>10</v>
      </c>
      <c r="G594" t="s">
        <v>11</v>
      </c>
      <c r="H594" s="1" t="str">
        <f>HYPERLINK("http://apps.fcc.gov/ecfs/document/view?id=7520938769"," (1 page)")</f>
        <v> (1 page)</v>
      </c>
    </row>
    <row r="595" spans="1:8" ht="12.75">
      <c r="A595" t="s">
        <v>6</v>
      </c>
      <c r="B595" s="4" t="s">
        <v>507</v>
      </c>
      <c r="D595" t="s">
        <v>333</v>
      </c>
      <c r="E595" t="s">
        <v>333</v>
      </c>
      <c r="F595" t="s">
        <v>10</v>
      </c>
      <c r="G595" t="s">
        <v>11</v>
      </c>
      <c r="H595" s="1" t="str">
        <f>HYPERLINK("http://apps.fcc.gov/ecfs/document/view?id=7520943259","  (1 page)")</f>
        <v>  (1 page)</v>
      </c>
    </row>
    <row r="596" spans="1:12" ht="12.75">
      <c r="A596" t="s">
        <v>6</v>
      </c>
      <c r="B596" s="4" t="s">
        <v>421</v>
      </c>
      <c r="D596" t="s">
        <v>333</v>
      </c>
      <c r="E596" t="s">
        <v>333</v>
      </c>
      <c r="F596" t="s">
        <v>10</v>
      </c>
      <c r="G596" t="s">
        <v>11</v>
      </c>
      <c r="H596" s="1" t="str">
        <f>HYPERLINK("http://apps.fcc.gov/ecfs/document/view?id=7520943392","  (1 page)")</f>
        <v>  (1 page)</v>
      </c>
      <c r="L596" s="12" t="str">
        <f>HYPERLINK("http://www.e-ratecentral.com/FCC/ERate20NPRMComments/pdf/NEFEC_NPRM_Comments_9-16-2013.pdf","North East Florida Educational Consortium (1 pages)")</f>
        <v>North East Florida Educational Consortium (1 pages)</v>
      </c>
    </row>
    <row r="597" spans="1:8" ht="12.75">
      <c r="A597" t="s">
        <v>6</v>
      </c>
      <c r="B597" s="4" t="s">
        <v>848</v>
      </c>
      <c r="C597" t="s">
        <v>752</v>
      </c>
      <c r="D597" t="s">
        <v>750</v>
      </c>
      <c r="E597" t="s">
        <v>750</v>
      </c>
      <c r="F597" t="s">
        <v>10</v>
      </c>
      <c r="G597" t="s">
        <v>11</v>
      </c>
      <c r="H597" s="1" t="str">
        <f>HYPERLINK("http://apps.fcc.gov/ecfs/document/view?id=7520940070","  (1 page)")</f>
        <v>  (1 page)</v>
      </c>
    </row>
    <row r="598" spans="1:8" ht="12.75">
      <c r="A598" t="s">
        <v>6</v>
      </c>
      <c r="B598" s="4" t="s">
        <v>702</v>
      </c>
      <c r="D598" t="s">
        <v>701</v>
      </c>
      <c r="E598" t="s">
        <v>685</v>
      </c>
      <c r="F598" t="s">
        <v>10</v>
      </c>
      <c r="G598" t="s">
        <v>11</v>
      </c>
      <c r="H598" s="1" t="str">
        <f>HYPERLINK("http://apps.fcc.gov/ecfs/document/view?id=7520942200","  (1 page)")</f>
        <v>  (1 page)</v>
      </c>
    </row>
    <row r="599" spans="1:8" ht="12.75">
      <c r="A599" t="s">
        <v>6</v>
      </c>
      <c r="B599" s="4" t="s">
        <v>841</v>
      </c>
      <c r="C599" t="s">
        <v>399</v>
      </c>
      <c r="D599" t="s">
        <v>333</v>
      </c>
      <c r="E599" t="s">
        <v>333</v>
      </c>
      <c r="F599" t="s">
        <v>10</v>
      </c>
      <c r="G599" t="s">
        <v>11</v>
      </c>
      <c r="H599" s="1" t="str">
        <f>HYPERLINK("http://apps.fcc.gov/ecfs/document/view?id=7520943318","  (1 page)")</f>
        <v>  (1 page)</v>
      </c>
    </row>
    <row r="600" spans="1:8" ht="12.75">
      <c r="A600" t="s">
        <v>6</v>
      </c>
      <c r="B600" s="4" t="s">
        <v>1147</v>
      </c>
      <c r="C600" t="s">
        <v>1116</v>
      </c>
      <c r="D600" t="s">
        <v>1109</v>
      </c>
      <c r="E600" t="s">
        <v>1109</v>
      </c>
      <c r="F600" t="s">
        <v>10</v>
      </c>
      <c r="G600" t="s">
        <v>11</v>
      </c>
      <c r="H600" s="1" t="str">
        <f>HYPERLINK("http://apps.fcc.gov/ecfs/document/view?id=7520944719","  (1 page)")</f>
        <v>  (1 page)</v>
      </c>
    </row>
    <row r="601" spans="1:12" ht="12.75">
      <c r="A601" t="s">
        <v>6</v>
      </c>
      <c r="B601" s="4" t="s">
        <v>1058</v>
      </c>
      <c r="C601" t="s">
        <v>629</v>
      </c>
      <c r="D601" t="s">
        <v>598</v>
      </c>
      <c r="E601" t="s">
        <v>524</v>
      </c>
      <c r="F601" t="s">
        <v>10</v>
      </c>
      <c r="G601" t="s">
        <v>11</v>
      </c>
      <c r="H601" s="1" t="str">
        <f>HYPERLINK("http://apps.fcc.gov/ecfs/document/view?id=7520942973","  (1 page)")</f>
        <v>  (1 page)</v>
      </c>
      <c r="L601" s="12" t="str">
        <f>HYPERLINK("http://www.e-ratecentral.com/FCC/ERate20NPRMComments/pdf/OrangeCoNC_NPRM_Comments_9162013.pdf","Orange County Schools (NC) (1 pages)")</f>
        <v>Orange County Schools (NC) (1 pages)</v>
      </c>
    </row>
    <row r="602" spans="1:8" ht="12.75">
      <c r="A602" t="s">
        <v>6</v>
      </c>
      <c r="B602" s="4" t="s">
        <v>999</v>
      </c>
      <c r="C602" t="s">
        <v>721</v>
      </c>
      <c r="D602" t="s">
        <v>717</v>
      </c>
      <c r="E602" t="s">
        <v>707</v>
      </c>
      <c r="F602" t="s">
        <v>10</v>
      </c>
      <c r="G602" t="s">
        <v>11</v>
      </c>
      <c r="H602" s="1" t="str">
        <f>HYPERLINK("http://apps.fcc.gov/ecfs/document/view?id=7520940497","  (1 page)")</f>
        <v>  (1 page)</v>
      </c>
    </row>
    <row r="603" spans="1:13" ht="12.75">
      <c r="A603" t="s">
        <v>6</v>
      </c>
      <c r="B603" s="4" t="s">
        <v>880</v>
      </c>
      <c r="C603" t="s">
        <v>927</v>
      </c>
      <c r="D603" t="s">
        <v>524</v>
      </c>
      <c r="E603" t="s">
        <v>524</v>
      </c>
      <c r="F603" t="s">
        <v>10</v>
      </c>
      <c r="G603" t="s">
        <v>11</v>
      </c>
      <c r="H603" s="1" t="str">
        <f>HYPERLINK("http://apps.fcc.gov/ecfs/document/view?id=7520943014","  (1 page)")</f>
        <v>  (1 page)</v>
      </c>
      <c r="I603" s="1" t="str">
        <f>HYPERLINK("http://apps.fcc.gov/ecfs/document/view?id=7520942923","Brillant Erate Letter (1 page)")</f>
        <v>Brillant Erate Letter (1 page)</v>
      </c>
      <c r="J603" s="1" t="str">
        <f>HYPERLINK("http://apps.fcc.gov/ecfs/document/view?id=7520942878","Custom Description sample ___ District School Comment on E Rate NPRM  (1 page)")</f>
        <v>Custom Description sample ___ District School Comment on E Rate NPRM  (1 page)</v>
      </c>
      <c r="L603" s="12" t="str">
        <f>HYPERLINK("http://www.e-ratecentral.com/FCC/ERate20NPRMComments/pdf/MelPace_NPRM_Comments_9-16-2013.pdf","Osceola County School District (1 pages)")</f>
        <v>Osceola County School District (1 pages)</v>
      </c>
      <c r="M603" s="3" t="str">
        <f>HYPERLINK("http://www.e-ratecentral.com/FCC/ERate20NPRMComments/pdf/OsceolaCoSD_NPRM_Comments_9162013.pdf","Osceola County School District (1 pages)")</f>
        <v>Osceola County School District (1 pages)</v>
      </c>
    </row>
    <row r="604" spans="1:8" ht="12.75">
      <c r="A604" t="s">
        <v>6</v>
      </c>
      <c r="B604" s="4" t="s">
        <v>985</v>
      </c>
      <c r="C604" t="s">
        <v>621</v>
      </c>
      <c r="D604" t="s">
        <v>598</v>
      </c>
      <c r="E604" t="s">
        <v>524</v>
      </c>
      <c r="F604" t="s">
        <v>10</v>
      </c>
      <c r="G604" t="s">
        <v>11</v>
      </c>
      <c r="H604" s="1" t="str">
        <f>HYPERLINK("http://apps.fcc.gov/ecfs/document/view?id=7520942956","  (1 page)")</f>
        <v>  (1 page)</v>
      </c>
    </row>
    <row r="605" spans="1:9" ht="12.75">
      <c r="A605" t="s">
        <v>6</v>
      </c>
      <c r="B605" s="4" t="s">
        <v>1059</v>
      </c>
      <c r="C605" t="s">
        <v>331</v>
      </c>
      <c r="D605" t="s">
        <v>333</v>
      </c>
      <c r="E605" t="s">
        <v>21</v>
      </c>
      <c r="F605" t="s">
        <v>10</v>
      </c>
      <c r="G605" t="s">
        <v>11</v>
      </c>
      <c r="H605" s="1" t="str">
        <f>HYPERLINK("http://apps.fcc.gov/ecfs/document/view?id=7520943497","  (1 page)")</f>
        <v>  (1 page)</v>
      </c>
      <c r="I605" s="1" t="str">
        <f>HYPERLINK("http://apps.fcc.gov/ecfs/document/view?id=7520942737","  (1 page)")</f>
        <v>  (1 page)</v>
      </c>
    </row>
    <row r="606" spans="1:12" ht="12.75">
      <c r="A606" t="s">
        <v>6</v>
      </c>
      <c r="B606" s="4" t="s">
        <v>420</v>
      </c>
      <c r="D606" t="s">
        <v>333</v>
      </c>
      <c r="E606" t="s">
        <v>333</v>
      </c>
      <c r="F606" t="s">
        <v>10</v>
      </c>
      <c r="G606" t="s">
        <v>11</v>
      </c>
      <c r="H606" s="1" t="str">
        <f>HYPERLINK("http://apps.fcc.gov/ecfs/document/view?id=7520943388","  (1 page)")</f>
        <v>  (1 page)</v>
      </c>
      <c r="L606" s="12" t="str">
        <f>HYPERLINK("http://www.e-ratecentral.com/FCC/ERate20NPRMComments/pdf/PAEC_NPRM_comments_9-16-2013.pdf","Panhandle Area Educaitonal Consortium (1 pages)")</f>
        <v>Panhandle Area Educaitonal Consortium (1 pages)</v>
      </c>
    </row>
    <row r="607" spans="1:8" ht="12.75">
      <c r="A607" t="s">
        <v>6</v>
      </c>
      <c r="B607" s="4" t="s">
        <v>1112</v>
      </c>
      <c r="D607" t="s">
        <v>1109</v>
      </c>
      <c r="E607" t="s">
        <v>1109</v>
      </c>
      <c r="F607" t="s">
        <v>10</v>
      </c>
      <c r="G607" t="s">
        <v>11</v>
      </c>
      <c r="H607" s="1" t="str">
        <f>HYPERLINK("http://apps.fcc.gov/ecfs/document/view?id=7520944708","  (1 page)")</f>
        <v>  (1 page)</v>
      </c>
    </row>
    <row r="608" spans="1:8" ht="12.75">
      <c r="A608" t="s">
        <v>6</v>
      </c>
      <c r="B608" s="4" t="s">
        <v>419</v>
      </c>
      <c r="D608" t="s">
        <v>333</v>
      </c>
      <c r="E608" t="s">
        <v>333</v>
      </c>
      <c r="F608" t="s">
        <v>10</v>
      </c>
      <c r="G608" t="s">
        <v>11</v>
      </c>
      <c r="H608" s="1" t="str">
        <f>HYPERLINK("http://apps.fcc.gov/ecfs/document/view?id=7520943379","  (1 page)")</f>
        <v>  (1 page)</v>
      </c>
    </row>
    <row r="609" spans="1:12" ht="12.75">
      <c r="A609" t="s">
        <v>6</v>
      </c>
      <c r="B609" s="4" t="s">
        <v>959</v>
      </c>
      <c r="C609" t="s">
        <v>283</v>
      </c>
      <c r="D609" t="s">
        <v>21</v>
      </c>
      <c r="E609" t="s">
        <v>21</v>
      </c>
      <c r="F609" t="s">
        <v>10</v>
      </c>
      <c r="G609" t="s">
        <v>11</v>
      </c>
      <c r="H609" s="1" t="str">
        <f>HYPERLINK("http://apps.fcc.gov/ecfs/document/view?id=7520943861","Comments from Peekskill City School District (1 page)")</f>
        <v>Comments from Peekskill City School District (1 page)</v>
      </c>
      <c r="L609" s="12" t="str">
        <f>HYPERLINK("http://www.e-ratecentral.com/FCC/ERate20NPRMComments/pdf/PeekskillNY_NPRM_Comments_9-16-2013.pdf","Peekskill City School District (1 pages)")</f>
        <v>Peekskill City School District (1 pages)</v>
      </c>
    </row>
    <row r="610" spans="1:8" ht="12.75">
      <c r="A610" t="s">
        <v>6</v>
      </c>
      <c r="B610" s="4" t="s">
        <v>418</v>
      </c>
      <c r="D610" t="s">
        <v>333</v>
      </c>
      <c r="E610" t="s">
        <v>333</v>
      </c>
      <c r="F610" t="s">
        <v>10</v>
      </c>
      <c r="G610" t="s">
        <v>11</v>
      </c>
      <c r="H610" s="1" t="str">
        <f>HYPERLINK("http://apps.fcc.gov/ecfs/document/view?id=7520943335","  (1 page)")</f>
        <v>  (1 page)</v>
      </c>
    </row>
    <row r="611" spans="1:9" ht="12.75">
      <c r="A611" t="s">
        <v>6</v>
      </c>
      <c r="B611" s="4" t="s">
        <v>417</v>
      </c>
      <c r="D611" t="s">
        <v>333</v>
      </c>
      <c r="E611" t="s">
        <v>333</v>
      </c>
      <c r="F611" t="s">
        <v>10</v>
      </c>
      <c r="G611" t="s">
        <v>11</v>
      </c>
      <c r="H611" s="1" t="str">
        <f>HYPERLINK("http://apps.fcc.gov/ecfs/document/view?id=7520943404","  (1 page)")</f>
        <v>  (1 page)</v>
      </c>
      <c r="I611" s="1"/>
    </row>
    <row r="612" spans="1:8" ht="12.75">
      <c r="A612" t="s">
        <v>6</v>
      </c>
      <c r="B612" s="4" t="s">
        <v>276</v>
      </c>
      <c r="D612" t="s">
        <v>21</v>
      </c>
      <c r="E612" t="s">
        <v>21</v>
      </c>
      <c r="F612" t="s">
        <v>10</v>
      </c>
      <c r="G612" t="s">
        <v>11</v>
      </c>
      <c r="H612" s="1" t="str">
        <f>HYPERLINK("http://apps.fcc.gov/ecfs/document/view?id=7520943863","  (1 page)")</f>
        <v>  (1 page)</v>
      </c>
    </row>
    <row r="613" spans="1:8" ht="12.75">
      <c r="A613" t="s">
        <v>6</v>
      </c>
      <c r="B613" s="4" t="s">
        <v>846</v>
      </c>
      <c r="C613" t="s">
        <v>401</v>
      </c>
      <c r="D613" t="s">
        <v>333</v>
      </c>
      <c r="E613" t="s">
        <v>333</v>
      </c>
      <c r="F613" t="s">
        <v>10</v>
      </c>
      <c r="G613" t="s">
        <v>11</v>
      </c>
      <c r="H613" s="1" t="str">
        <f>HYPERLINK("http://apps.fcc.gov/ecfs/document/view?id=7520943411","  (1 page)")</f>
        <v>  (1 page)</v>
      </c>
    </row>
    <row r="614" spans="1:8" ht="12.75">
      <c r="A614" t="s">
        <v>6</v>
      </c>
      <c r="B614" s="4" t="s">
        <v>879</v>
      </c>
      <c r="C614" t="s">
        <v>508</v>
      </c>
      <c r="D614" t="s">
        <v>333</v>
      </c>
      <c r="E614" t="s">
        <v>333</v>
      </c>
      <c r="F614" t="s">
        <v>10</v>
      </c>
      <c r="G614" t="s">
        <v>11</v>
      </c>
      <c r="H614" s="1" t="str">
        <f>HYPERLINK("http://apps.fcc.gov/ecfs/document/view?id=7520943260","  (1 page)")</f>
        <v>  (1 page)</v>
      </c>
    </row>
    <row r="615" spans="1:12" ht="12.75">
      <c r="A615" t="s">
        <v>6</v>
      </c>
      <c r="B615" s="4" t="s">
        <v>1006</v>
      </c>
      <c r="C615" t="s">
        <v>201</v>
      </c>
      <c r="D615" t="s">
        <v>21</v>
      </c>
      <c r="E615" t="s">
        <v>9</v>
      </c>
      <c r="F615" t="s">
        <v>10</v>
      </c>
      <c r="G615" t="s">
        <v>11</v>
      </c>
      <c r="H615" s="1" t="str">
        <f>HYPERLINK("http://apps.fcc.gov/ecfs/document/view?id=7520944127","  (1 page)")</f>
        <v>  (1 page)</v>
      </c>
      <c r="L615" s="12" t="str">
        <f>HYPERLINK("http://www.e-ratecentral.com/FCC/ERate20NPRMComments/pdf/PONCACityPubSchools.pdf","Ponca City Public School (1 pages)")</f>
        <v>Ponca City Public School (1 pages)</v>
      </c>
    </row>
    <row r="616" spans="1:8" ht="12.75">
      <c r="A616" t="s">
        <v>6</v>
      </c>
      <c r="B616" s="4" t="s">
        <v>839</v>
      </c>
      <c r="C616" t="s">
        <v>398</v>
      </c>
      <c r="D616" t="s">
        <v>333</v>
      </c>
      <c r="E616" t="s">
        <v>333</v>
      </c>
      <c r="F616" t="s">
        <v>10</v>
      </c>
      <c r="G616" t="s">
        <v>11</v>
      </c>
      <c r="H616" s="1" t="str">
        <f>HYPERLINK("http://apps.fcc.gov/ecfs/document/view?id=7520943296","  (1 page)")</f>
        <v>  (1 page)</v>
      </c>
    </row>
    <row r="617" spans="1:8" ht="12.75">
      <c r="A617" t="s">
        <v>6</v>
      </c>
      <c r="B617" s="4" t="s">
        <v>1037</v>
      </c>
      <c r="C617" t="s">
        <v>497</v>
      </c>
      <c r="D617" t="s">
        <v>333</v>
      </c>
      <c r="E617" t="s">
        <v>333</v>
      </c>
      <c r="F617" t="s">
        <v>10</v>
      </c>
      <c r="G617" t="s">
        <v>11</v>
      </c>
      <c r="H617" s="1" t="str">
        <f>HYPERLINK("http://apps.fcc.gov/ecfs/document/view?id=7520943299","  (1 page)")</f>
        <v>  (1 page)</v>
      </c>
    </row>
    <row r="618" spans="1:8" ht="12.75">
      <c r="A618" t="s">
        <v>6</v>
      </c>
      <c r="B618" s="4" t="s">
        <v>552</v>
      </c>
      <c r="D618" t="s">
        <v>553</v>
      </c>
      <c r="E618" t="s">
        <v>333</v>
      </c>
      <c r="F618" t="s">
        <v>10</v>
      </c>
      <c r="G618" t="s">
        <v>11</v>
      </c>
      <c r="H618" s="1" t="str">
        <f>HYPERLINK("http://apps.fcc.gov/ecfs/document/view?id=7520943235","  (1 page)")</f>
        <v>  (1 page)</v>
      </c>
    </row>
    <row r="619" spans="1:8" ht="12.75">
      <c r="A619" t="s">
        <v>6</v>
      </c>
      <c r="B619" s="4" t="s">
        <v>969</v>
      </c>
      <c r="C619" t="s">
        <v>664</v>
      </c>
      <c r="D619" t="s">
        <v>553</v>
      </c>
      <c r="E619" t="s">
        <v>652</v>
      </c>
      <c r="F619" t="s">
        <v>10</v>
      </c>
      <c r="G619" t="s">
        <v>11</v>
      </c>
      <c r="H619" s="1" t="str">
        <f>HYPERLINK("http://apps.fcc.gov/ecfs/document/view?id=7520942716","E Rate comment (1 page)")</f>
        <v>E Rate comment (1 page)</v>
      </c>
    </row>
    <row r="620" spans="1:8" ht="12.75">
      <c r="A620" t="s">
        <v>6</v>
      </c>
      <c r="B620" s="4" t="s">
        <v>860</v>
      </c>
      <c r="C620" t="s">
        <v>505</v>
      </c>
      <c r="D620" t="s">
        <v>333</v>
      </c>
      <c r="E620" t="s">
        <v>333</v>
      </c>
      <c r="F620" t="s">
        <v>10</v>
      </c>
      <c r="G620" t="s">
        <v>11</v>
      </c>
      <c r="H620" s="1" t="str">
        <f>HYPERLINK("http://apps.fcc.gov/ecfs/document/view?id=7520943272","  (1 page)")</f>
        <v>  (1 page)</v>
      </c>
    </row>
    <row r="621" spans="1:8" ht="12.75">
      <c r="A621" t="s">
        <v>6</v>
      </c>
      <c r="B621" s="4" t="s">
        <v>348</v>
      </c>
      <c r="D621" t="s">
        <v>333</v>
      </c>
      <c r="E621" t="s">
        <v>21</v>
      </c>
      <c r="F621" t="s">
        <v>10</v>
      </c>
      <c r="G621" t="s">
        <v>11</v>
      </c>
      <c r="H621" s="1" t="str">
        <f>HYPERLINK("http://apps.fcc.gov/ecfs/document/view?id=7520943465","  (1 page)")</f>
        <v>  (1 page)</v>
      </c>
    </row>
    <row r="622" spans="1:8" ht="12.75">
      <c r="A622" t="s">
        <v>6</v>
      </c>
      <c r="B622" s="4" t="s">
        <v>1061</v>
      </c>
      <c r="C622" t="s">
        <v>110</v>
      </c>
      <c r="D622" t="s">
        <v>9</v>
      </c>
      <c r="E622" t="s">
        <v>9</v>
      </c>
      <c r="F622" t="s">
        <v>10</v>
      </c>
      <c r="G622" t="s">
        <v>11</v>
      </c>
      <c r="H622" s="1" t="str">
        <f>HYPERLINK("http://apps.fcc.gov/ecfs/document/view?id=7520944225","  (1 page)")</f>
        <v>  (1 page)</v>
      </c>
    </row>
    <row r="623" spans="1:8" ht="12.75">
      <c r="A623" t="s">
        <v>6</v>
      </c>
      <c r="B623" s="4" t="s">
        <v>530</v>
      </c>
      <c r="D623" t="s">
        <v>524</v>
      </c>
      <c r="E623" t="s">
        <v>333</v>
      </c>
      <c r="F623" t="s">
        <v>10</v>
      </c>
      <c r="G623" t="s">
        <v>11</v>
      </c>
      <c r="H623" s="1" t="str">
        <f>HYPERLINK("http://apps.fcc.gov/ecfs/document/view?id=7520943211"," (1 page)")</f>
        <v> (1 page)</v>
      </c>
    </row>
    <row r="624" spans="1:8" ht="12.75">
      <c r="A624" t="s">
        <v>6</v>
      </c>
      <c r="B624" s="4" t="s">
        <v>85</v>
      </c>
      <c r="D624" t="s">
        <v>9</v>
      </c>
      <c r="E624" t="s">
        <v>9</v>
      </c>
      <c r="F624" t="s">
        <v>10</v>
      </c>
      <c r="G624" t="s">
        <v>11</v>
      </c>
      <c r="H624" s="1" t="str">
        <f>HYPERLINK("http://apps.fcc.gov/ecfs/document/view?id=7520944227","  (1 page)")</f>
        <v>  (1 page)</v>
      </c>
    </row>
    <row r="625" spans="1:8" ht="12.75">
      <c r="A625" t="s">
        <v>6</v>
      </c>
      <c r="B625" s="4" t="s">
        <v>1127</v>
      </c>
      <c r="D625" t="s">
        <v>1070</v>
      </c>
      <c r="E625" t="s">
        <v>1109</v>
      </c>
      <c r="F625" t="s">
        <v>10</v>
      </c>
      <c r="G625" t="s">
        <v>11</v>
      </c>
      <c r="H625" s="1" t="str">
        <f>HYPERLINK("http://apps.fcc.gov/ecfs/document/view?id=7520944466","  (1 page)")</f>
        <v>  (1 page)</v>
      </c>
    </row>
    <row r="626" spans="1:8" ht="12.75">
      <c r="A626" t="s">
        <v>6</v>
      </c>
      <c r="B626" s="4" t="s">
        <v>563</v>
      </c>
      <c r="D626" t="s">
        <v>524</v>
      </c>
      <c r="E626" t="s">
        <v>524</v>
      </c>
      <c r="F626" t="s">
        <v>10</v>
      </c>
      <c r="G626" t="s">
        <v>11</v>
      </c>
      <c r="H626" s="1" t="str">
        <f>HYPERLINK("http://apps.fcc.gov/ecfs/document/view?id=7520943082","  (1 page)")</f>
        <v>  (1 page)</v>
      </c>
    </row>
    <row r="627" spans="1:8" ht="12.75">
      <c r="A627" t="s">
        <v>6</v>
      </c>
      <c r="B627" s="4" t="s">
        <v>864</v>
      </c>
      <c r="D627" t="s">
        <v>21</v>
      </c>
      <c r="E627" t="s">
        <v>9</v>
      </c>
      <c r="F627" t="s">
        <v>10</v>
      </c>
      <c r="G627" t="s">
        <v>11</v>
      </c>
      <c r="H627" s="1" t="str">
        <f>HYPERLINK("http://apps.fcc.gov/ecfs/document/view?id=7520943992"," (1 page)")</f>
        <v> (1 page)</v>
      </c>
    </row>
    <row r="628" spans="1:8" ht="12.75">
      <c r="A628" t="s">
        <v>6</v>
      </c>
      <c r="B628" s="4" t="s">
        <v>347</v>
      </c>
      <c r="D628" t="s">
        <v>21</v>
      </c>
      <c r="E628" t="s">
        <v>21</v>
      </c>
      <c r="F628" t="s">
        <v>10</v>
      </c>
      <c r="G628" t="s">
        <v>11</v>
      </c>
      <c r="H628" s="1" t="str">
        <f>HYPERLINK("http://apps.fcc.gov/ecfs/document/view?id=7520943665"," (1 page)")</f>
        <v> (1 page)</v>
      </c>
    </row>
    <row r="629" spans="1:8" ht="12.75">
      <c r="A629" t="s">
        <v>6</v>
      </c>
      <c r="B629" s="4" t="s">
        <v>414</v>
      </c>
      <c r="D629" t="s">
        <v>333</v>
      </c>
      <c r="E629" t="s">
        <v>333</v>
      </c>
      <c r="F629" t="s">
        <v>10</v>
      </c>
      <c r="G629" t="s">
        <v>11</v>
      </c>
      <c r="H629" s="1" t="str">
        <f>HYPERLINK("http://apps.fcc.gov/ecfs/document/view?id=7520943322","  (1 page)")</f>
        <v>  (1 page)</v>
      </c>
    </row>
    <row r="630" spans="1:8" ht="12.75">
      <c r="A630" t="s">
        <v>6</v>
      </c>
      <c r="B630" s="4" t="s">
        <v>854</v>
      </c>
      <c r="C630" t="s">
        <v>602</v>
      </c>
      <c r="D630" t="s">
        <v>524</v>
      </c>
      <c r="E630" t="s">
        <v>524</v>
      </c>
      <c r="F630" t="s">
        <v>10</v>
      </c>
      <c r="G630" t="s">
        <v>11</v>
      </c>
      <c r="H630" s="1" t="str">
        <f>HYPERLINK("http://apps.fcc.gov/ecfs/document/view?id=7520943015","  (1 page)")</f>
        <v>  (1 page)</v>
      </c>
    </row>
    <row r="631" spans="1:8" ht="12.75">
      <c r="A631" t="s">
        <v>6</v>
      </c>
      <c r="B631" s="4" t="s">
        <v>562</v>
      </c>
      <c r="D631" t="s">
        <v>524</v>
      </c>
      <c r="E631" t="s">
        <v>524</v>
      </c>
      <c r="F631" t="s">
        <v>10</v>
      </c>
      <c r="G631" t="s">
        <v>11</v>
      </c>
      <c r="H631" s="1" t="str">
        <f>HYPERLINK("http://apps.fcc.gov/ecfs/document/view?id=7520943055","  (1 page)")</f>
        <v>  (1 page)</v>
      </c>
    </row>
    <row r="632" spans="1:8" ht="12.75">
      <c r="A632" t="s">
        <v>6</v>
      </c>
      <c r="B632" s="4" t="s">
        <v>274</v>
      </c>
      <c r="D632" t="s">
        <v>21</v>
      </c>
      <c r="E632" t="s">
        <v>21</v>
      </c>
      <c r="F632" t="s">
        <v>10</v>
      </c>
      <c r="G632" t="s">
        <v>11</v>
      </c>
      <c r="H632" s="1" t="str">
        <f>HYPERLINK("http://apps.fcc.gov/ecfs/document/view?id=7520943856","  (1 page)")</f>
        <v>  (1 page)</v>
      </c>
    </row>
    <row r="633" spans="1:8" ht="12.75">
      <c r="A633" t="s">
        <v>6</v>
      </c>
      <c r="B633" s="4" t="s">
        <v>412</v>
      </c>
      <c r="D633" t="s">
        <v>333</v>
      </c>
      <c r="E633" t="s">
        <v>333</v>
      </c>
      <c r="F633" t="s">
        <v>10</v>
      </c>
      <c r="G633" t="s">
        <v>11</v>
      </c>
      <c r="H633" s="1" t="str">
        <f>HYPERLINK("http://apps.fcc.gov/ecfs/document/view?id=7520943319","  (1 page)")</f>
        <v>  (1 page)</v>
      </c>
    </row>
    <row r="634" spans="1:8" ht="12.75">
      <c r="A634" t="s">
        <v>6</v>
      </c>
      <c r="B634" s="4" t="s">
        <v>345</v>
      </c>
      <c r="D634" t="s">
        <v>333</v>
      </c>
      <c r="E634" t="s">
        <v>21</v>
      </c>
      <c r="F634" t="s">
        <v>10</v>
      </c>
      <c r="G634" t="s">
        <v>11</v>
      </c>
      <c r="H634" s="1" t="str">
        <f>HYPERLINK("http://apps.fcc.gov/ecfs/document/view?id=7520943472","  (1 page)")</f>
        <v>  (1 page)</v>
      </c>
    </row>
    <row r="635" spans="1:8" ht="12.75">
      <c r="A635" t="s">
        <v>6</v>
      </c>
      <c r="B635" s="4" t="s">
        <v>79</v>
      </c>
      <c r="D635" t="s">
        <v>9</v>
      </c>
      <c r="E635" t="s">
        <v>9</v>
      </c>
      <c r="F635" t="s">
        <v>10</v>
      </c>
      <c r="G635" t="s">
        <v>11</v>
      </c>
      <c r="H635" s="1" t="str">
        <f>HYPERLINK("http://apps.fcc.gov/ecfs/document/view?id=7520944218","  (1 page)")</f>
        <v>  (1 page)</v>
      </c>
    </row>
    <row r="636" spans="1:8" ht="12.75">
      <c r="A636" t="s">
        <v>6</v>
      </c>
      <c r="B636" s="4" t="s">
        <v>1022</v>
      </c>
      <c r="C636" t="s">
        <v>489</v>
      </c>
      <c r="D636" t="s">
        <v>333</v>
      </c>
      <c r="E636" t="s">
        <v>333</v>
      </c>
      <c r="F636" t="s">
        <v>10</v>
      </c>
      <c r="G636" t="s">
        <v>11</v>
      </c>
      <c r="H636" s="1" t="str">
        <f>HYPERLINK("http://apps.fcc.gov/ecfs/document/view?id=7520943420","  (1 page)")</f>
        <v>  (1 page)</v>
      </c>
    </row>
    <row r="637" spans="1:9" ht="12.75">
      <c r="A637" t="s">
        <v>6</v>
      </c>
      <c r="B637" s="4" t="s">
        <v>853</v>
      </c>
      <c r="C637" t="s">
        <v>600</v>
      </c>
      <c r="D637" t="s">
        <v>598</v>
      </c>
      <c r="E637" t="s">
        <v>524</v>
      </c>
      <c r="F637" t="s">
        <v>10</v>
      </c>
      <c r="G637" t="s">
        <v>11</v>
      </c>
      <c r="H637" s="1" t="str">
        <f>HYPERLINK("http://apps.fcc.gov/ecfs/document/view?id=7520943005","Rockdale ISD Comment on E Rate NPRM (1 page)")</f>
        <v>Rockdale ISD Comment on E Rate NPRM (1 page)</v>
      </c>
      <c r="I637" s="1" t="str">
        <f>HYPERLINK("http://apps.fcc.gov/ecfs/document/view?id=7520943323","  (1 page)")</f>
        <v>  (1 page)</v>
      </c>
    </row>
    <row r="638" spans="1:8" ht="12.75">
      <c r="A638" t="s">
        <v>6</v>
      </c>
      <c r="B638" s="4" t="s">
        <v>633</v>
      </c>
      <c r="D638" t="s">
        <v>598</v>
      </c>
      <c r="E638" t="s">
        <v>598</v>
      </c>
      <c r="F638" t="s">
        <v>10</v>
      </c>
      <c r="G638" t="s">
        <v>11</v>
      </c>
      <c r="H638" s="1" t="str">
        <f>HYPERLINK("http://apps.fcc.gov/ecfs/document/view?id=7520942881","District Comment on E Rate NPRM (1 page)")</f>
        <v>District Comment on E Rate NPRM (1 page)</v>
      </c>
    </row>
    <row r="639" spans="1:8" ht="12.75">
      <c r="A639" t="s">
        <v>6</v>
      </c>
      <c r="B639" s="4" t="s">
        <v>411</v>
      </c>
      <c r="D639" t="s">
        <v>333</v>
      </c>
      <c r="E639" t="s">
        <v>333</v>
      </c>
      <c r="F639" t="s">
        <v>10</v>
      </c>
      <c r="G639" t="s">
        <v>11</v>
      </c>
      <c r="H639" s="1" t="str">
        <f>HYPERLINK("http://apps.fcc.gov/ecfs/document/view?id=7520943423","  (1 page)")</f>
        <v>  (1 page)</v>
      </c>
    </row>
    <row r="640" spans="1:8" ht="12.75">
      <c r="A640" t="s">
        <v>6</v>
      </c>
      <c r="B640" s="4" t="s">
        <v>408</v>
      </c>
      <c r="D640" t="s">
        <v>333</v>
      </c>
      <c r="E640" t="s">
        <v>333</v>
      </c>
      <c r="F640" t="s">
        <v>10</v>
      </c>
      <c r="G640" t="s">
        <v>11</v>
      </c>
      <c r="H640" s="1" t="str">
        <f>HYPERLINK("http://apps.fcc.gov/ecfs/document/view?id=7520943325","  (1 page)")</f>
        <v>  (1 page)</v>
      </c>
    </row>
    <row r="641" spans="1:8" ht="12.75">
      <c r="A641" t="s">
        <v>6</v>
      </c>
      <c r="B641" s="4" t="s">
        <v>76</v>
      </c>
      <c r="D641" t="s">
        <v>9</v>
      </c>
      <c r="E641" t="s">
        <v>9</v>
      </c>
      <c r="F641" t="s">
        <v>10</v>
      </c>
      <c r="G641" t="s">
        <v>11</v>
      </c>
      <c r="H641" s="1" t="str">
        <f>HYPERLINK("http://apps.fcc.gov/ecfs/document/view?id=7520944213","  (1 page)")</f>
        <v>  (1 page)</v>
      </c>
    </row>
    <row r="642" spans="1:8" ht="12.75">
      <c r="A642" t="s">
        <v>6</v>
      </c>
      <c r="B642" s="4" t="s">
        <v>976</v>
      </c>
      <c r="C642" t="s">
        <v>543</v>
      </c>
      <c r="D642" t="s">
        <v>524</v>
      </c>
      <c r="E642" t="s">
        <v>333</v>
      </c>
      <c r="F642" t="s">
        <v>10</v>
      </c>
      <c r="G642" t="s">
        <v>11</v>
      </c>
      <c r="H642" s="1" t="str">
        <f>HYPERLINK("http://apps.fcc.gov/ecfs/document/view?id=7520943208"," (1 page)")</f>
        <v> (1 page)</v>
      </c>
    </row>
    <row r="643" spans="1:8" ht="12.75">
      <c r="A643" t="s">
        <v>6</v>
      </c>
      <c r="B643" s="4" t="s">
        <v>1014</v>
      </c>
      <c r="C643" t="s">
        <v>203</v>
      </c>
      <c r="D643" t="s">
        <v>9</v>
      </c>
      <c r="E643" t="s">
        <v>9</v>
      </c>
      <c r="F643" t="s">
        <v>10</v>
      </c>
      <c r="G643" t="s">
        <v>11</v>
      </c>
      <c r="H643" s="1" t="str">
        <f>HYPERLINK("http://apps.fcc.gov/ecfs/document/view?id=7520944231","  (1 page)")</f>
        <v>  (1 page)</v>
      </c>
    </row>
    <row r="644" spans="1:8" ht="12.75">
      <c r="A644" t="s">
        <v>6</v>
      </c>
      <c r="B644" s="4" t="s">
        <v>967</v>
      </c>
      <c r="C644" t="s">
        <v>172</v>
      </c>
      <c r="D644" t="s">
        <v>9</v>
      </c>
      <c r="E644" t="s">
        <v>9</v>
      </c>
      <c r="F644" t="s">
        <v>10</v>
      </c>
      <c r="G644" t="s">
        <v>11</v>
      </c>
      <c r="H644" s="1" t="str">
        <f>HYPERLINK("http://apps.fcc.gov/ecfs/document/view?id=7520944256","  (1 page)")</f>
        <v>  (1 page)</v>
      </c>
    </row>
    <row r="645" spans="1:8" ht="12.75">
      <c r="A645" t="s">
        <v>6</v>
      </c>
      <c r="B645" s="4" t="s">
        <v>972</v>
      </c>
      <c r="C645" t="s">
        <v>746</v>
      </c>
      <c r="D645" t="s">
        <v>738</v>
      </c>
      <c r="E645" t="s">
        <v>738</v>
      </c>
      <c r="F645" t="s">
        <v>10</v>
      </c>
      <c r="G645" t="s">
        <v>11</v>
      </c>
      <c r="H645" s="1" t="str">
        <f>HYPERLINK("http://apps.fcc.gov/ecfs/document/view?id=7520940235","  (1 page)")</f>
        <v>  (1 page)</v>
      </c>
    </row>
    <row r="646" spans="1:9" ht="12.75">
      <c r="A646" t="s">
        <v>6</v>
      </c>
      <c r="B646" s="4" t="s">
        <v>1024</v>
      </c>
      <c r="C646" t="s">
        <v>490</v>
      </c>
      <c r="D646" t="s">
        <v>524</v>
      </c>
      <c r="E646" t="s">
        <v>333</v>
      </c>
      <c r="F646" t="s">
        <v>10</v>
      </c>
      <c r="G646" t="s">
        <v>11</v>
      </c>
      <c r="H646" s="1" t="str">
        <f>HYPERLINK("http://apps.fcc.gov/ecfs/document/view?id=7520943162","  (1 page)")</f>
        <v>  (1 page)</v>
      </c>
      <c r="I646" s="1"/>
    </row>
    <row r="647" spans="1:8" ht="12.75">
      <c r="A647" t="s">
        <v>6</v>
      </c>
      <c r="B647" s="4" t="s">
        <v>1063</v>
      </c>
      <c r="C647" t="s">
        <v>538</v>
      </c>
      <c r="D647" t="s">
        <v>333</v>
      </c>
      <c r="E647" t="s">
        <v>333</v>
      </c>
      <c r="F647" t="s">
        <v>10</v>
      </c>
      <c r="G647" t="s">
        <v>11</v>
      </c>
      <c r="H647" s="1" t="str">
        <f>HYPERLINK("http://apps.fcc.gov/ecfs/document/view?id=7520943250","  (1 page)")</f>
        <v>  (1 page)</v>
      </c>
    </row>
    <row r="648" spans="1:8" ht="12.75">
      <c r="A648" t="s">
        <v>6</v>
      </c>
      <c r="B648" s="4" t="s">
        <v>561</v>
      </c>
      <c r="D648" t="s">
        <v>524</v>
      </c>
      <c r="E648" t="s">
        <v>524</v>
      </c>
      <c r="F648" t="s">
        <v>10</v>
      </c>
      <c r="G648" t="s">
        <v>11</v>
      </c>
      <c r="H648" s="1" t="str">
        <f>HYPERLINK("http://apps.fcc.gov/ecfs/document/view?id=7520943065","  (1 page)")</f>
        <v>  (1 page)</v>
      </c>
    </row>
    <row r="649" spans="1:8" ht="12.75">
      <c r="A649" t="s">
        <v>6</v>
      </c>
      <c r="B649" s="4" t="s">
        <v>844</v>
      </c>
      <c r="C649" t="s">
        <v>400</v>
      </c>
      <c r="D649" t="s">
        <v>333</v>
      </c>
      <c r="E649" t="s">
        <v>333</v>
      </c>
      <c r="F649" t="s">
        <v>10</v>
      </c>
      <c r="G649" t="s">
        <v>11</v>
      </c>
      <c r="H649" s="1" t="str">
        <f>HYPERLINK("http://apps.fcc.gov/ecfs/document/view?id=7520943415","  (1 page)")</f>
        <v>  (1 page)</v>
      </c>
    </row>
    <row r="650" spans="1:8" ht="12.75">
      <c r="A650" t="s">
        <v>6</v>
      </c>
      <c r="B650" s="4" t="s">
        <v>504</v>
      </c>
      <c r="D650" t="s">
        <v>333</v>
      </c>
      <c r="E650" t="s">
        <v>333</v>
      </c>
      <c r="F650" t="s">
        <v>10</v>
      </c>
      <c r="G650" t="s">
        <v>11</v>
      </c>
      <c r="H650" s="1" t="str">
        <f>HYPERLINK("http://apps.fcc.gov/ecfs/document/view?id=7520943275","  (1 page)")</f>
        <v>  (1 page)</v>
      </c>
    </row>
    <row r="651" spans="1:8" ht="12.75">
      <c r="A651" t="s">
        <v>6</v>
      </c>
      <c r="B651" s="4" t="s">
        <v>65</v>
      </c>
      <c r="D651" t="s">
        <v>9</v>
      </c>
      <c r="E651" t="s">
        <v>9</v>
      </c>
      <c r="F651" t="s">
        <v>10</v>
      </c>
      <c r="G651" t="s">
        <v>11</v>
      </c>
      <c r="H651" s="1" t="str">
        <f>HYPERLINK("http://apps.fcc.gov/ecfs/document/view?id=7520944215","  (1 page)")</f>
        <v>  (1 page)</v>
      </c>
    </row>
    <row r="652" spans="1:8" ht="12.75">
      <c r="A652" t="s">
        <v>6</v>
      </c>
      <c r="B652" s="4" t="s">
        <v>503</v>
      </c>
      <c r="D652" t="s">
        <v>333</v>
      </c>
      <c r="E652" t="s">
        <v>333</v>
      </c>
      <c r="F652" t="s">
        <v>10</v>
      </c>
      <c r="G652" t="s">
        <v>11</v>
      </c>
      <c r="H652" s="1" t="str">
        <f>HYPERLINK("http://apps.fcc.gov/ecfs/document/view?id=7520943265","  (1 page)")</f>
        <v>  (1 page)</v>
      </c>
    </row>
    <row r="653" spans="1:8" ht="12.75">
      <c r="A653" t="s">
        <v>6</v>
      </c>
      <c r="B653" s="4" t="s">
        <v>885</v>
      </c>
      <c r="D653" t="s">
        <v>21</v>
      </c>
      <c r="E653" t="s">
        <v>9</v>
      </c>
      <c r="F653" t="s">
        <v>10</v>
      </c>
      <c r="G653" t="s">
        <v>11</v>
      </c>
      <c r="H653" s="1" t="str">
        <f>HYPERLINK("http://apps.fcc.gov/ecfs/document/view?id=7520943894","erate comment (1 page)")</f>
        <v>erate comment (1 page)</v>
      </c>
    </row>
    <row r="654" spans="1:8" ht="12.75">
      <c r="A654" t="s">
        <v>6</v>
      </c>
      <c r="B654" s="4" t="s">
        <v>947</v>
      </c>
      <c r="C654" t="s">
        <v>697</v>
      </c>
      <c r="D654" t="s">
        <v>685</v>
      </c>
      <c r="E654" t="s">
        <v>685</v>
      </c>
      <c r="F654" t="s">
        <v>10</v>
      </c>
      <c r="G654" t="s">
        <v>11</v>
      </c>
      <c r="H654" s="1" t="str">
        <f>HYPERLINK("http://apps.fcc.gov/ecfs/document/view?id=7520942249","  (1 page)")</f>
        <v>  (1 page)</v>
      </c>
    </row>
    <row r="655" spans="1:8" ht="12.75">
      <c r="A655" t="s">
        <v>6</v>
      </c>
      <c r="B655" s="4" t="s">
        <v>1111</v>
      </c>
      <c r="D655" t="s">
        <v>1109</v>
      </c>
      <c r="E655" t="s">
        <v>1109</v>
      </c>
      <c r="F655" t="s">
        <v>10</v>
      </c>
      <c r="G655" t="s">
        <v>11</v>
      </c>
      <c r="H655" s="1" t="str">
        <f>HYPERLINK("http://apps.fcc.gov/ecfs/document/view?id=7520944710","  (1 page)")</f>
        <v>  (1 page)</v>
      </c>
    </row>
    <row r="656" spans="1:8" ht="12.75">
      <c r="A656" t="s">
        <v>6</v>
      </c>
      <c r="B656" s="4" t="s">
        <v>838</v>
      </c>
      <c r="C656" t="s">
        <v>589</v>
      </c>
      <c r="D656" t="s">
        <v>524</v>
      </c>
      <c r="E656" t="s">
        <v>524</v>
      </c>
      <c r="F656" t="s">
        <v>10</v>
      </c>
      <c r="G656" t="s">
        <v>11</v>
      </c>
      <c r="H656" s="1" t="str">
        <f>HYPERLINK("http://apps.fcc.gov/ecfs/document/view?id=7520943026","  (1 page)")</f>
        <v>  (1 page)</v>
      </c>
    </row>
    <row r="657" spans="1:8" ht="12.75">
      <c r="A657" t="s">
        <v>6</v>
      </c>
      <c r="B657" s="4" t="s">
        <v>678</v>
      </c>
      <c r="D657" t="s">
        <v>673</v>
      </c>
      <c r="E657" t="s">
        <v>673</v>
      </c>
      <c r="F657" t="s">
        <v>10</v>
      </c>
      <c r="G657" t="s">
        <v>11</v>
      </c>
      <c r="H657" s="1" t="str">
        <f>HYPERLINK("http://apps.fcc.gov/ecfs/document/view?id=7520942560"," (1 page)")</f>
        <v> (1 page)</v>
      </c>
    </row>
    <row r="658" spans="1:8" ht="12.75">
      <c r="A658" t="s">
        <v>6</v>
      </c>
      <c r="B658" s="4" t="s">
        <v>402</v>
      </c>
      <c r="D658" t="s">
        <v>333</v>
      </c>
      <c r="E658" t="s">
        <v>333</v>
      </c>
      <c r="F658" t="s">
        <v>10</v>
      </c>
      <c r="G658" t="s">
        <v>11</v>
      </c>
      <c r="H658" s="1" t="str">
        <f>HYPERLINK("http://apps.fcc.gov/ecfs/document/view?id=7520943383","  (1 page)")</f>
        <v>  (1 page)</v>
      </c>
    </row>
    <row r="659" spans="1:8" ht="12.75">
      <c r="A659" t="s">
        <v>6</v>
      </c>
      <c r="B659" s="4" t="s">
        <v>677</v>
      </c>
      <c r="D659" t="s">
        <v>673</v>
      </c>
      <c r="E659" t="s">
        <v>673</v>
      </c>
      <c r="F659" t="s">
        <v>10</v>
      </c>
      <c r="G659" t="s">
        <v>11</v>
      </c>
      <c r="H659" s="1" t="str">
        <f>HYPERLINK("http://apps.fcc.gov/ecfs/document/view?id=7520942558"," (1 page)")</f>
        <v> (1 page)</v>
      </c>
    </row>
    <row r="660" spans="1:8" ht="12.75">
      <c r="A660" t="s">
        <v>6</v>
      </c>
      <c r="B660" s="4" t="s">
        <v>1065</v>
      </c>
      <c r="C660" t="s">
        <v>437</v>
      </c>
      <c r="D660" t="s">
        <v>333</v>
      </c>
      <c r="E660" t="s">
        <v>333</v>
      </c>
      <c r="F660" t="s">
        <v>10</v>
      </c>
      <c r="G660" t="s">
        <v>11</v>
      </c>
      <c r="H660" s="1" t="str">
        <f>HYPERLINK("http://apps.fcc.gov/ecfs/document/view?id=7520943313","  (1 page)")</f>
        <v>  (1 page)</v>
      </c>
    </row>
    <row r="661" spans="1:8" ht="12.75">
      <c r="A661" t="s">
        <v>6</v>
      </c>
      <c r="B661" s="4" t="s">
        <v>1013</v>
      </c>
      <c r="C661" t="s">
        <v>703</v>
      </c>
      <c r="D661" t="s">
        <v>701</v>
      </c>
      <c r="E661" t="s">
        <v>685</v>
      </c>
      <c r="F661" t="s">
        <v>10</v>
      </c>
      <c r="G661" t="s">
        <v>11</v>
      </c>
      <c r="H661" s="1" t="str">
        <f>HYPERLINK("http://apps.fcc.gov/ecfs/document/view?id=7520942111","  (1 page)")</f>
        <v>  (1 page)</v>
      </c>
    </row>
    <row r="662" spans="1:8" ht="12.75">
      <c r="A662" t="s">
        <v>6</v>
      </c>
      <c r="B662" s="4" t="s">
        <v>1031</v>
      </c>
      <c r="C662" t="s">
        <v>757</v>
      </c>
      <c r="D662" t="s">
        <v>755</v>
      </c>
      <c r="E662" t="s">
        <v>755</v>
      </c>
      <c r="F662" t="s">
        <v>10</v>
      </c>
      <c r="G662" t="s">
        <v>11</v>
      </c>
      <c r="H662" s="1" t="str">
        <f>HYPERLINK("http://apps.fcc.gov/ecfs/document/view?id=7520939825"," (1 page)")</f>
        <v> (1 page)</v>
      </c>
    </row>
    <row r="663" spans="1:8" ht="12.75">
      <c r="A663" t="s">
        <v>6</v>
      </c>
      <c r="B663" s="4" t="s">
        <v>951</v>
      </c>
      <c r="C663" t="s">
        <v>745</v>
      </c>
      <c r="D663" t="s">
        <v>738</v>
      </c>
      <c r="E663" t="s">
        <v>738</v>
      </c>
      <c r="F663" t="s">
        <v>10</v>
      </c>
      <c r="G663" t="s">
        <v>11</v>
      </c>
      <c r="H663" s="1" t="str">
        <f>HYPERLINK("http://apps.fcc.gov/ecfs/document/view?id=7520940215"," (1 page)")</f>
        <v> (1 page)</v>
      </c>
    </row>
    <row r="664" spans="1:8" ht="12.75">
      <c r="A664" t="s">
        <v>6</v>
      </c>
      <c r="B664" s="4" t="s">
        <v>953</v>
      </c>
      <c r="C664" t="s">
        <v>302</v>
      </c>
      <c r="D664" t="s">
        <v>21</v>
      </c>
      <c r="E664" t="s">
        <v>21</v>
      </c>
      <c r="F664" t="s">
        <v>10</v>
      </c>
      <c r="G664" t="s">
        <v>11</v>
      </c>
      <c r="H664" s="1" t="str">
        <f>HYPERLINK("http://apps.fcc.gov/ecfs/document/view?id=7520943816","District Comment on E Rate NPRM (1 page)")</f>
        <v>District Comment on E Rate NPRM (1 page)</v>
      </c>
    </row>
    <row r="665" spans="1:8" ht="12.75">
      <c r="A665" t="s">
        <v>6</v>
      </c>
      <c r="B665" s="4" t="s">
        <v>833</v>
      </c>
      <c r="C665" t="s">
        <v>556</v>
      </c>
      <c r="D665" t="s">
        <v>524</v>
      </c>
      <c r="E665" t="s">
        <v>524</v>
      </c>
      <c r="F665" t="s">
        <v>10</v>
      </c>
      <c r="G665" t="s">
        <v>11</v>
      </c>
      <c r="H665" s="1" t="str">
        <f>HYPERLINK("http://apps.fcc.gov/ecfs/document/view?id=7520943048","St Ignatius School Comment on E Rate NPRM (1 page)")</f>
        <v>St Ignatius School Comment on E Rate NPRM (1 page)</v>
      </c>
    </row>
    <row r="666" spans="1:8" ht="12.75">
      <c r="A666" t="s">
        <v>6</v>
      </c>
      <c r="B666" s="4" t="s">
        <v>313</v>
      </c>
      <c r="D666" t="s">
        <v>21</v>
      </c>
      <c r="E666" t="s">
        <v>21</v>
      </c>
      <c r="F666" t="s">
        <v>10</v>
      </c>
      <c r="G666" t="s">
        <v>11</v>
      </c>
      <c r="H666" s="1" t="str">
        <f>HYPERLINK("http://apps.fcc.gov/ecfs/document/view?id=7520943787","  (1 page)")</f>
        <v>  (1 page)</v>
      </c>
    </row>
    <row r="667" spans="1:8" ht="12.75">
      <c r="A667" t="s">
        <v>6</v>
      </c>
      <c r="B667" s="4" t="s">
        <v>840</v>
      </c>
      <c r="C667" t="s">
        <v>527</v>
      </c>
      <c r="D667" t="s">
        <v>333</v>
      </c>
      <c r="E667" t="s">
        <v>333</v>
      </c>
      <c r="F667" t="s">
        <v>10</v>
      </c>
      <c r="G667" t="s">
        <v>11</v>
      </c>
      <c r="H667" s="1" t="str">
        <f>HYPERLINK("http://apps.fcc.gov/ecfs/document/view?id=7520943224","St Sebastian Regional School s e Rate comments (1 page)")</f>
        <v>St Sebastian Regional School s e Rate comments (1 page)</v>
      </c>
    </row>
    <row r="668" spans="1:8" ht="12.75">
      <c r="A668" t="s">
        <v>6</v>
      </c>
      <c r="B668" s="4" t="s">
        <v>963</v>
      </c>
      <c r="C668" t="s">
        <v>620</v>
      </c>
      <c r="D668" t="s">
        <v>598</v>
      </c>
      <c r="E668" t="s">
        <v>524</v>
      </c>
      <c r="F668" t="s">
        <v>10</v>
      </c>
      <c r="G668" t="s">
        <v>11</v>
      </c>
      <c r="H668" s="1" t="str">
        <f>HYPERLINK("http://apps.fcc.gov/ecfs/document/view?id=7520942937"," (1 page)")</f>
        <v> (1 page)</v>
      </c>
    </row>
    <row r="669" spans="1:12" ht="12.75">
      <c r="A669" t="s">
        <v>6</v>
      </c>
      <c r="B669" s="4" t="s">
        <v>977</v>
      </c>
      <c r="C669" t="s">
        <v>370</v>
      </c>
      <c r="D669" t="s">
        <v>21</v>
      </c>
      <c r="E669" t="s">
        <v>21</v>
      </c>
      <c r="F669" t="s">
        <v>10</v>
      </c>
      <c r="G669" t="s">
        <v>11</v>
      </c>
      <c r="H669" s="1" t="str">
        <f>HYPERLINK("http://apps.fcc.gov/ecfs/document/view?id=7520943625","  (1 page)")</f>
        <v>  (1 page)</v>
      </c>
      <c r="L669" s="12" t="str">
        <f>HYPERLINK("http://www.e-ratecentral.com/FCC/ERate20NPRMComments/pdf/GovQuinn_NPRM_Comments_9-16-2013.pdf","State of Illinois (1 pages)")</f>
        <v>State of Illinois (1 pages)</v>
      </c>
    </row>
    <row r="670" spans="1:8" ht="12.75">
      <c r="A670" t="s">
        <v>6</v>
      </c>
      <c r="B670" s="4" t="s">
        <v>1036</v>
      </c>
      <c r="C670" t="s">
        <v>241</v>
      </c>
      <c r="D670" t="s">
        <v>9</v>
      </c>
      <c r="E670" t="s">
        <v>9</v>
      </c>
      <c r="F670" t="s">
        <v>10</v>
      </c>
      <c r="G670" t="s">
        <v>11</v>
      </c>
      <c r="H670" s="1" t="str">
        <f>HYPERLINK("http://apps.fcc.gov/ecfs/document/view?id=7520944212","  (1 page)")</f>
        <v>  (1 page)</v>
      </c>
    </row>
    <row r="671" spans="1:8" ht="12.75">
      <c r="A671" t="s">
        <v>6</v>
      </c>
      <c r="B671" s="4" t="s">
        <v>51</v>
      </c>
      <c r="D671" t="s">
        <v>9</v>
      </c>
      <c r="E671" t="s">
        <v>9</v>
      </c>
      <c r="F671" t="s">
        <v>10</v>
      </c>
      <c r="G671" t="s">
        <v>11</v>
      </c>
      <c r="H671" s="1" t="str">
        <f>HYPERLINK("http://apps.fcc.gov/ecfs/document/view?id=7520944244","  (1 page)")</f>
        <v>  (1 page)</v>
      </c>
    </row>
    <row r="672" spans="1:8" ht="12.75">
      <c r="A672" t="s">
        <v>6</v>
      </c>
      <c r="B672" s="4" t="s">
        <v>1110</v>
      </c>
      <c r="D672" t="s">
        <v>1109</v>
      </c>
      <c r="E672" t="s">
        <v>1109</v>
      </c>
      <c r="F672" t="s">
        <v>10</v>
      </c>
      <c r="G672" t="s">
        <v>11</v>
      </c>
      <c r="H672" s="1" t="str">
        <f>HYPERLINK("http://apps.fcc.gov/ecfs/document/view?id=7520944718","  (1 page)")</f>
        <v>  (1 page)</v>
      </c>
    </row>
    <row r="673" spans="1:8" ht="12.75">
      <c r="A673" t="s">
        <v>6</v>
      </c>
      <c r="B673" s="4" t="s">
        <v>687</v>
      </c>
      <c r="D673" t="s">
        <v>673</v>
      </c>
      <c r="E673" t="s">
        <v>673</v>
      </c>
      <c r="F673" t="s">
        <v>10</v>
      </c>
      <c r="G673" t="s">
        <v>11</v>
      </c>
      <c r="H673" s="1" t="str">
        <f>HYPERLINK("http://apps.fcc.gov/ecfs/document/view?id=7520942518"," (1 page)")</f>
        <v> (1 page)</v>
      </c>
    </row>
    <row r="674" spans="1:8" ht="12.75">
      <c r="A674" t="s">
        <v>6</v>
      </c>
      <c r="B674" s="4" t="s">
        <v>915</v>
      </c>
      <c r="C674" t="s">
        <v>653</v>
      </c>
      <c r="D674" t="s">
        <v>598</v>
      </c>
      <c r="E674" t="s">
        <v>598</v>
      </c>
      <c r="F674" t="s">
        <v>10</v>
      </c>
      <c r="G674" t="s">
        <v>11</v>
      </c>
      <c r="H674" s="1" t="str">
        <f>HYPERLINK("http://apps.fcc.gov/ecfs/document/view?id=7520942872","  (1 page)")</f>
        <v>  (1 page)</v>
      </c>
    </row>
    <row r="675" spans="1:8" ht="12.75">
      <c r="A675" t="s">
        <v>6</v>
      </c>
      <c r="B675" s="4" t="s">
        <v>906</v>
      </c>
      <c r="C675" t="s">
        <v>438</v>
      </c>
      <c r="D675" t="s">
        <v>333</v>
      </c>
      <c r="E675" t="s">
        <v>333</v>
      </c>
      <c r="F675" t="s">
        <v>10</v>
      </c>
      <c r="G675" t="s">
        <v>11</v>
      </c>
      <c r="H675" s="1" t="str">
        <f>HYPERLINK("http://apps.fcc.gov/ecfs/document/view?id=7520943279","  (1 page)")</f>
        <v>  (1 page)</v>
      </c>
    </row>
    <row r="676" spans="1:9" ht="12.75">
      <c r="A676" t="s">
        <v>6</v>
      </c>
      <c r="B676" s="4" t="s">
        <v>49</v>
      </c>
      <c r="D676" t="s">
        <v>524</v>
      </c>
      <c r="E676" t="s">
        <v>524</v>
      </c>
      <c r="F676" t="s">
        <v>10</v>
      </c>
      <c r="G676" t="s">
        <v>11</v>
      </c>
      <c r="H676" s="1" t="str">
        <f>HYPERLINK("http://apps.fcc.gov/ecfs/document/view?id=7520943120","  (1 page)")</f>
        <v>  (1 page)</v>
      </c>
      <c r="I676" s="1" t="str">
        <f>HYPERLINK("http://apps.fcc.gov/ecfs/document/view?id=7520944246","  (1 page)")</f>
        <v>  (1 page)</v>
      </c>
    </row>
    <row r="677" spans="1:8" ht="12.75">
      <c r="A677" t="s">
        <v>6</v>
      </c>
      <c r="B677" s="4" t="s">
        <v>397</v>
      </c>
      <c r="D677" t="s">
        <v>333</v>
      </c>
      <c r="E677" t="s">
        <v>333</v>
      </c>
      <c r="F677" t="s">
        <v>10</v>
      </c>
      <c r="G677" t="s">
        <v>11</v>
      </c>
      <c r="H677" s="1" t="str">
        <f>HYPERLINK("http://apps.fcc.gov/ecfs/document/view?id=7520943294","  (1 page)")</f>
        <v>  (1 page)</v>
      </c>
    </row>
    <row r="678" spans="1:8" ht="12.75">
      <c r="A678" t="s">
        <v>6</v>
      </c>
      <c r="B678" s="4" t="s">
        <v>526</v>
      </c>
      <c r="D678" t="s">
        <v>333</v>
      </c>
      <c r="E678" t="s">
        <v>333</v>
      </c>
      <c r="F678" t="s">
        <v>10</v>
      </c>
      <c r="G678" t="s">
        <v>11</v>
      </c>
      <c r="H678" s="1" t="str">
        <f>HYPERLINK("http://apps.fcc.gov/ecfs/document/view?id=7520943251","  (1 page)")</f>
        <v>  (1 page)</v>
      </c>
    </row>
    <row r="679" spans="1:8" ht="12.75">
      <c r="A679" t="s">
        <v>6</v>
      </c>
      <c r="B679" s="4" t="s">
        <v>559</v>
      </c>
      <c r="D679" t="s">
        <v>524</v>
      </c>
      <c r="E679" t="s">
        <v>524</v>
      </c>
      <c r="F679" t="s">
        <v>10</v>
      </c>
      <c r="G679" t="s">
        <v>11</v>
      </c>
      <c r="H679" s="1" t="str">
        <f>HYPERLINK("http://apps.fcc.gov/ecfs/document/view?id=7520943060","  (1 page)")</f>
        <v>  (1 page)</v>
      </c>
    </row>
    <row r="680" spans="1:8" ht="12.75">
      <c r="A680" t="s">
        <v>6</v>
      </c>
      <c r="B680" s="4" t="s">
        <v>827</v>
      </c>
      <c r="C680" t="s">
        <v>631</v>
      </c>
      <c r="D680" t="s">
        <v>598</v>
      </c>
      <c r="E680" t="s">
        <v>598</v>
      </c>
      <c r="F680" t="s">
        <v>10</v>
      </c>
      <c r="G680" t="s">
        <v>11</v>
      </c>
      <c r="H680" s="1" t="str">
        <f>HYPERLINK("http://apps.fcc.gov/ecfs/document/view?id=7520942902","E rate funding (1 page)")</f>
        <v>E rate funding (1 page)</v>
      </c>
    </row>
    <row r="681" spans="1:9" ht="12.75">
      <c r="A681" t="s">
        <v>6</v>
      </c>
      <c r="B681" s="4" t="s">
        <v>938</v>
      </c>
      <c r="C681" t="s">
        <v>614</v>
      </c>
      <c r="D681" t="s">
        <v>598</v>
      </c>
      <c r="E681" t="s">
        <v>524</v>
      </c>
      <c r="F681" t="s">
        <v>10</v>
      </c>
      <c r="G681" t="s">
        <v>11</v>
      </c>
      <c r="H681" s="1" t="str">
        <f>HYPERLINK("http://apps.fcc.gov/ecfs/document/view?id=7520942918","Sylvan Union School District Comment on E Rate NPRM (1 page)")</f>
        <v>Sylvan Union School District Comment on E Rate NPRM (1 page)</v>
      </c>
      <c r="I681" s="1" t="str">
        <f>HYPERLINK("http://apps.fcc.gov/ecfs/document/view?id=7520942919","Sylvan Union School District Comment on E Rate NPRM (1 page)")</f>
        <v>Sylvan Union School District Comment on E Rate NPRM (1 page)</v>
      </c>
    </row>
    <row r="682" spans="1:8" ht="12.75">
      <c r="A682" t="s">
        <v>6</v>
      </c>
      <c r="B682" s="4" t="s">
        <v>396</v>
      </c>
      <c r="D682" t="s">
        <v>333</v>
      </c>
      <c r="E682" t="s">
        <v>333</v>
      </c>
      <c r="F682" t="s">
        <v>10</v>
      </c>
      <c r="G682" t="s">
        <v>11</v>
      </c>
      <c r="H682" s="1" t="str">
        <f>HYPERLINK("http://apps.fcc.gov/ecfs/document/view?id=7520943359"," (1 page)")</f>
        <v> (1 page)</v>
      </c>
    </row>
    <row r="683" spans="1:8" ht="12.75">
      <c r="A683" t="s">
        <v>6</v>
      </c>
      <c r="B683" s="4" t="s">
        <v>772</v>
      </c>
      <c r="D683" t="s">
        <v>768</v>
      </c>
      <c r="E683" t="s">
        <v>768</v>
      </c>
      <c r="F683" t="s">
        <v>10</v>
      </c>
      <c r="G683" t="s">
        <v>11</v>
      </c>
      <c r="H683" s="1" t="str">
        <f>HYPERLINK("http://apps.fcc.gov/ecfs/document/view?id=7520938513"," (1 page)")</f>
        <v> (1 page)</v>
      </c>
    </row>
    <row r="684" spans="1:8" ht="12.75">
      <c r="A684" t="s">
        <v>6</v>
      </c>
      <c r="B684" s="4" t="s">
        <v>903</v>
      </c>
      <c r="C684" t="s">
        <v>433</v>
      </c>
      <c r="D684" t="s">
        <v>333</v>
      </c>
      <c r="E684" t="s">
        <v>333</v>
      </c>
      <c r="F684" t="s">
        <v>10</v>
      </c>
      <c r="G684" t="s">
        <v>11</v>
      </c>
      <c r="H684" s="1" t="str">
        <f>HYPERLINK("http://apps.fcc.gov/ecfs/document/view?id=7520943389","  (1 page)")</f>
        <v>  (1 page)</v>
      </c>
    </row>
    <row r="685" spans="1:8" ht="12.75">
      <c r="A685" t="s">
        <v>6</v>
      </c>
      <c r="B685" s="4" t="s">
        <v>675</v>
      </c>
      <c r="D685" t="s">
        <v>673</v>
      </c>
      <c r="E685" t="s">
        <v>673</v>
      </c>
      <c r="F685" t="s">
        <v>10</v>
      </c>
      <c r="G685" t="s">
        <v>11</v>
      </c>
      <c r="H685" s="1" t="str">
        <f>HYPERLINK("http://apps.fcc.gov/ecfs/document/view?id=7520942542"," (1 page)")</f>
        <v> (1 page)</v>
      </c>
    </row>
    <row r="686" spans="1:8" ht="12.75">
      <c r="A686" t="s">
        <v>6</v>
      </c>
      <c r="B686" s="4" t="s">
        <v>394</v>
      </c>
      <c r="D686" t="s">
        <v>333</v>
      </c>
      <c r="E686" t="s">
        <v>333</v>
      </c>
      <c r="F686" t="s">
        <v>10</v>
      </c>
      <c r="G686" t="s">
        <v>11</v>
      </c>
      <c r="H686" s="1" t="str">
        <f>HYPERLINK("http://apps.fcc.gov/ecfs/document/view?id=7520943289","  (1 page)")</f>
        <v>  (1 page)</v>
      </c>
    </row>
    <row r="687" spans="1:8" ht="12.75">
      <c r="A687" t="s">
        <v>6</v>
      </c>
      <c r="B687" s="4" t="s">
        <v>974</v>
      </c>
      <c r="C687" t="s">
        <v>467</v>
      </c>
      <c r="D687" t="s">
        <v>333</v>
      </c>
      <c r="E687" t="s">
        <v>333</v>
      </c>
      <c r="F687" t="s">
        <v>10</v>
      </c>
      <c r="G687" t="s">
        <v>11</v>
      </c>
      <c r="H687" s="1" t="str">
        <f>HYPERLINK("http://apps.fcc.gov/ecfs/document/view?id=7520943309","  (1 page)")</f>
        <v>  (1 page)</v>
      </c>
    </row>
    <row r="688" spans="1:8" ht="12.75">
      <c r="A688" t="s">
        <v>6</v>
      </c>
      <c r="B688" s="4" t="s">
        <v>525</v>
      </c>
      <c r="D688" t="s">
        <v>333</v>
      </c>
      <c r="E688" t="s">
        <v>333</v>
      </c>
      <c r="F688" t="s">
        <v>10</v>
      </c>
      <c r="G688" t="s">
        <v>11</v>
      </c>
      <c r="H688" s="1" t="str">
        <f>HYPERLINK("http://apps.fcc.gov/ecfs/document/view?id=7520943234"," (1 page)")</f>
        <v> (1 page)</v>
      </c>
    </row>
    <row r="689" spans="1:8" ht="12.75">
      <c r="A689" t="s">
        <v>6</v>
      </c>
      <c r="B689" s="4" t="s">
        <v>340</v>
      </c>
      <c r="D689" t="s">
        <v>333</v>
      </c>
      <c r="E689" t="s">
        <v>21</v>
      </c>
      <c r="F689" t="s">
        <v>10</v>
      </c>
      <c r="G689" t="s">
        <v>11</v>
      </c>
      <c r="H689" s="1" t="str">
        <f>HYPERLINK("http://apps.fcc.gov/ecfs/document/view?id=7520943463","  (1 page)")</f>
        <v>  (1 page)</v>
      </c>
    </row>
    <row r="690" spans="1:8" ht="12.75">
      <c r="A690" t="s">
        <v>6</v>
      </c>
      <c r="B690" s="4" t="s">
        <v>392</v>
      </c>
      <c r="D690" t="s">
        <v>333</v>
      </c>
      <c r="E690" t="s">
        <v>333</v>
      </c>
      <c r="F690" t="s">
        <v>10</v>
      </c>
      <c r="G690" t="s">
        <v>11</v>
      </c>
      <c r="H690" s="1" t="str">
        <f>HYPERLINK("http://apps.fcc.gov/ecfs/document/view?id=7520943307","  (1 page)")</f>
        <v>  (1 page)</v>
      </c>
    </row>
    <row r="691" spans="1:8" ht="12.75">
      <c r="A691" t="s">
        <v>6</v>
      </c>
      <c r="B691" s="4" t="s">
        <v>502</v>
      </c>
      <c r="D691" t="s">
        <v>333</v>
      </c>
      <c r="E691" t="s">
        <v>333</v>
      </c>
      <c r="F691" t="s">
        <v>10</v>
      </c>
      <c r="G691" t="s">
        <v>11</v>
      </c>
      <c r="H691" s="1" t="str">
        <f>HYPERLINK("http://apps.fcc.gov/ecfs/document/view?id=7520943263","  (1 page)")</f>
        <v>  (1 page)</v>
      </c>
    </row>
    <row r="692" spans="1:8" ht="12.75">
      <c r="A692" t="s">
        <v>6</v>
      </c>
      <c r="B692" s="4" t="s">
        <v>555</v>
      </c>
      <c r="D692" t="s">
        <v>524</v>
      </c>
      <c r="E692" t="s">
        <v>524</v>
      </c>
      <c r="F692" t="s">
        <v>10</v>
      </c>
      <c r="G692" t="s">
        <v>11</v>
      </c>
      <c r="H692" s="1" t="str">
        <f>HYPERLINK("http://apps.fcc.gov/ecfs/document/view?id=7520943049","  (1 page)")</f>
        <v>  (1 page)</v>
      </c>
    </row>
    <row r="693" spans="1:8" ht="12.75">
      <c r="A693" t="s">
        <v>6</v>
      </c>
      <c r="B693" s="4" t="s">
        <v>391</v>
      </c>
      <c r="D693" t="s">
        <v>333</v>
      </c>
      <c r="E693" t="s">
        <v>333</v>
      </c>
      <c r="F693" t="s">
        <v>10</v>
      </c>
      <c r="G693" t="s">
        <v>11</v>
      </c>
      <c r="H693" s="1" t="str">
        <f>HYPERLINK("http://apps.fcc.gov/ecfs/document/view?id=7520943397","  (1 page)")</f>
        <v>  (1 page)</v>
      </c>
    </row>
    <row r="694" spans="1:8" ht="12.75">
      <c r="A694" t="s">
        <v>6</v>
      </c>
      <c r="B694" s="4" t="s">
        <v>851</v>
      </c>
      <c r="C694" t="s">
        <v>405</v>
      </c>
      <c r="D694" t="s">
        <v>333</v>
      </c>
      <c r="E694" t="s">
        <v>333</v>
      </c>
      <c r="F694" t="s">
        <v>10</v>
      </c>
      <c r="G694" t="s">
        <v>11</v>
      </c>
      <c r="H694" s="1" t="str">
        <f>HYPERLINK("http://apps.fcc.gov/ecfs/document/view?id=7520943400","  (1 page)")</f>
        <v>  (1 page)</v>
      </c>
    </row>
    <row r="695" spans="1:8" ht="12.75">
      <c r="A695" t="s">
        <v>6</v>
      </c>
      <c r="B695" s="4" t="s">
        <v>766</v>
      </c>
      <c r="D695" t="s">
        <v>764</v>
      </c>
      <c r="E695" t="s">
        <v>764</v>
      </c>
      <c r="F695" t="s">
        <v>10</v>
      </c>
      <c r="G695" t="s">
        <v>11</v>
      </c>
      <c r="H695" s="1" t="str">
        <f>HYPERLINK("http://apps.fcc.gov/ecfs/document/view?id=7520938848"," (1 page)")</f>
        <v> (1 page)</v>
      </c>
    </row>
    <row r="696" spans="1:8" ht="12.75">
      <c r="A696" t="s">
        <v>6</v>
      </c>
      <c r="B696" s="4" t="s">
        <v>388</v>
      </c>
      <c r="D696" t="s">
        <v>333</v>
      </c>
      <c r="E696" t="s">
        <v>333</v>
      </c>
      <c r="F696" t="s">
        <v>10</v>
      </c>
      <c r="G696" t="s">
        <v>11</v>
      </c>
      <c r="H696" s="1" t="str">
        <f>HYPERLINK("http://apps.fcc.gov/ecfs/document/view?id=7520943442","  (1 page)")</f>
        <v>  (1 page)</v>
      </c>
    </row>
    <row r="697" spans="1:8" ht="12.75">
      <c r="A697" t="s">
        <v>6</v>
      </c>
      <c r="B697" s="4" t="s">
        <v>42</v>
      </c>
      <c r="D697" t="s">
        <v>9</v>
      </c>
      <c r="E697" t="s">
        <v>9</v>
      </c>
      <c r="F697" t="s">
        <v>10</v>
      </c>
      <c r="G697" t="s">
        <v>11</v>
      </c>
      <c r="H697" s="1" t="str">
        <f>HYPERLINK("http://apps.fcc.gov/ecfs/document/view?id=7520944240","  (1 page)")</f>
        <v>  (1 page)</v>
      </c>
    </row>
    <row r="698" spans="1:8" ht="12.75">
      <c r="A698" t="s">
        <v>6</v>
      </c>
      <c r="B698" s="4" t="s">
        <v>1153</v>
      </c>
      <c r="C698" t="s">
        <v>1135</v>
      </c>
      <c r="D698" t="s">
        <v>1070</v>
      </c>
      <c r="E698" t="s">
        <v>1109</v>
      </c>
      <c r="F698" t="s">
        <v>10</v>
      </c>
      <c r="G698" t="s">
        <v>11</v>
      </c>
      <c r="H698" s="1" t="str">
        <f>HYPERLINK("http://apps.fcc.gov/ecfs/document/view?id=7520944443","  (1 page)")</f>
        <v>  (1 page)</v>
      </c>
    </row>
    <row r="699" spans="1:8" ht="12.75">
      <c r="A699" t="s">
        <v>6</v>
      </c>
      <c r="B699" s="4" t="s">
        <v>669</v>
      </c>
      <c r="D699" t="s">
        <v>553</v>
      </c>
      <c r="E699" t="s">
        <v>553</v>
      </c>
      <c r="F699" t="s">
        <v>10</v>
      </c>
      <c r="G699" t="s">
        <v>11</v>
      </c>
      <c r="H699" s="1" t="str">
        <f>HYPERLINK("http://apps.fcc.gov/ecfs/document/view?id=7520942708"," (1 page)")</f>
        <v> (1 page)</v>
      </c>
    </row>
    <row r="700" spans="1:8" ht="12.75">
      <c r="A700" t="s">
        <v>6</v>
      </c>
      <c r="B700" s="4" t="s">
        <v>1145</v>
      </c>
      <c r="C700" t="s">
        <v>1108</v>
      </c>
      <c r="D700" t="s">
        <v>1109</v>
      </c>
      <c r="E700" t="s">
        <v>1109</v>
      </c>
      <c r="F700" t="s">
        <v>10</v>
      </c>
      <c r="G700" t="s">
        <v>11</v>
      </c>
      <c r="H700" s="1" t="str">
        <f>HYPERLINK("http://apps.fcc.gov/ecfs/document/view?id=7520944712","  (1 page)")</f>
        <v>  (1 page)</v>
      </c>
    </row>
    <row r="701" spans="1:9" ht="12.75">
      <c r="A701" t="s">
        <v>6</v>
      </c>
      <c r="B701" s="4" t="s">
        <v>809</v>
      </c>
      <c r="C701" t="s">
        <v>531</v>
      </c>
      <c r="D701" t="s">
        <v>738</v>
      </c>
      <c r="E701" t="s">
        <v>738</v>
      </c>
      <c r="F701" t="s">
        <v>10</v>
      </c>
      <c r="G701" t="s">
        <v>11</v>
      </c>
      <c r="H701" s="1" t="str">
        <f>HYPERLINK("http://apps.fcc.gov/ecfs/document/view?id=7520940165","  (1 page)")</f>
        <v>  (1 page)</v>
      </c>
      <c r="I701" s="1" t="str">
        <f>HYPERLINK("http://apps.fcc.gov/ecfs/document/view?id=7520943217","  (1 page)")</f>
        <v>  (1 page)</v>
      </c>
    </row>
    <row r="702" spans="1:8" ht="12.75">
      <c r="A702" t="s">
        <v>6</v>
      </c>
      <c r="B702" s="4" t="s">
        <v>336</v>
      </c>
      <c r="D702" t="s">
        <v>21</v>
      </c>
      <c r="E702" t="s">
        <v>21</v>
      </c>
      <c r="F702" t="s">
        <v>10</v>
      </c>
      <c r="G702" t="s">
        <v>11</v>
      </c>
      <c r="H702" s="1" t="str">
        <f>HYPERLINK("http://apps.fcc.gov/ecfs/document/view?id=7520943657","Universal Academy District Comment on NPRM changes to Email and Web Hosting (1 page)")</f>
        <v>Universal Academy District Comment on NPRM changes to Email and Web Hosting (1 page)</v>
      </c>
    </row>
    <row r="703" spans="1:8" ht="12.75">
      <c r="A703" t="s">
        <v>6</v>
      </c>
      <c r="B703" s="4" t="s">
        <v>968</v>
      </c>
      <c r="C703" t="s">
        <v>715</v>
      </c>
      <c r="D703" t="s">
        <v>707</v>
      </c>
      <c r="E703" t="s">
        <v>707</v>
      </c>
      <c r="F703" t="s">
        <v>10</v>
      </c>
      <c r="G703" t="s">
        <v>11</v>
      </c>
      <c r="H703" s="1" t="str">
        <f>HYPERLINK("http://apps.fcc.gov/ecfs/document/view?id=7520941347","  (1 page)")</f>
        <v>  (1 page)</v>
      </c>
    </row>
    <row r="704" spans="1:8" ht="12.75">
      <c r="A704" t="s">
        <v>6</v>
      </c>
      <c r="B704" s="4" t="s">
        <v>1125</v>
      </c>
      <c r="D704" t="s">
        <v>1070</v>
      </c>
      <c r="E704" t="s">
        <v>1109</v>
      </c>
      <c r="F704" t="s">
        <v>10</v>
      </c>
      <c r="G704" t="s">
        <v>11</v>
      </c>
      <c r="H704" s="1" t="str">
        <f>HYPERLINK("http://apps.fcc.gov/ecfs/document/view?id=7520944432","  (1 page)")</f>
        <v>  (1 page)</v>
      </c>
    </row>
    <row r="705" spans="1:8" ht="12.75">
      <c r="A705" t="s">
        <v>6</v>
      </c>
      <c r="B705" s="4" t="s">
        <v>899</v>
      </c>
      <c r="C705" t="s">
        <v>124</v>
      </c>
      <c r="D705" t="s">
        <v>21</v>
      </c>
      <c r="E705" t="s">
        <v>9</v>
      </c>
      <c r="F705" t="s">
        <v>10</v>
      </c>
      <c r="G705" t="s">
        <v>11</v>
      </c>
      <c r="H705" s="1" t="str">
        <f>HYPERLINK("http://apps.fcc.gov/ecfs/document/view?id=7520944119","  (1 page)")</f>
        <v>  (1 page)</v>
      </c>
    </row>
    <row r="706" spans="1:8" ht="12.75">
      <c r="A706" t="s">
        <v>6</v>
      </c>
      <c r="B706" s="4" t="s">
        <v>911</v>
      </c>
      <c r="C706" t="s">
        <v>136</v>
      </c>
      <c r="D706" t="s">
        <v>9</v>
      </c>
      <c r="E706" t="s">
        <v>9</v>
      </c>
      <c r="F706" t="s">
        <v>10</v>
      </c>
      <c r="G706" t="s">
        <v>11</v>
      </c>
      <c r="H706" s="1" t="str">
        <f>HYPERLINK("http://apps.fcc.gov/ecfs/document/view?id=7520944250","  (1 page)")</f>
        <v>  (1 page)</v>
      </c>
    </row>
    <row r="707" spans="1:8" ht="12.75">
      <c r="A707" t="s">
        <v>6</v>
      </c>
      <c r="B707" s="4" t="s">
        <v>289</v>
      </c>
      <c r="D707" t="s">
        <v>21</v>
      </c>
      <c r="E707" t="s">
        <v>21</v>
      </c>
      <c r="F707" t="s">
        <v>10</v>
      </c>
      <c r="G707" t="s">
        <v>11</v>
      </c>
      <c r="H707" s="1" t="str">
        <f>HYPERLINK("http://apps.fcc.gov/ecfs/document/view?id=7520943800","Wagon Mound Public Schools Comments on NPRM changes to Email and Web Hosting (1 page)")</f>
        <v>Wagon Mound Public Schools Comments on NPRM changes to Email and Web Hosting (1 page)</v>
      </c>
    </row>
    <row r="708" spans="1:8" ht="12.75">
      <c r="A708" t="s">
        <v>6</v>
      </c>
      <c r="B708" s="4" t="s">
        <v>334</v>
      </c>
      <c r="D708" t="s">
        <v>21</v>
      </c>
      <c r="E708" t="s">
        <v>21</v>
      </c>
      <c r="F708" t="s">
        <v>10</v>
      </c>
      <c r="G708" t="s">
        <v>11</v>
      </c>
      <c r="H708" s="1" t="str">
        <f>HYPERLINK("http://apps.fcc.gov/ecfs/document/view?id=7520943710","  (1 page)")</f>
        <v>  (1 page)</v>
      </c>
    </row>
    <row r="709" spans="1:8" ht="12.75">
      <c r="A709" t="s">
        <v>6</v>
      </c>
      <c r="B709" s="4" t="s">
        <v>1028</v>
      </c>
      <c r="C709" t="s">
        <v>550</v>
      </c>
      <c r="D709" t="s">
        <v>524</v>
      </c>
      <c r="E709" t="s">
        <v>333</v>
      </c>
      <c r="F709" t="s">
        <v>10</v>
      </c>
      <c r="G709" t="s">
        <v>11</v>
      </c>
      <c r="H709" s="1" t="str">
        <f>HYPERLINK("http://apps.fcc.gov/ecfs/document/view?id=7520943159"," (1 page)")</f>
        <v> (1 page)</v>
      </c>
    </row>
    <row r="710" spans="1:9" ht="12.75">
      <c r="A710" t="s">
        <v>6</v>
      </c>
      <c r="B710" s="4" t="s">
        <v>659</v>
      </c>
      <c r="C710" t="s">
        <v>593</v>
      </c>
      <c r="D710" t="s">
        <v>524</v>
      </c>
      <c r="E710" t="s">
        <v>524</v>
      </c>
      <c r="F710" t="s">
        <v>10</v>
      </c>
      <c r="G710" t="s">
        <v>11</v>
      </c>
      <c r="H710" s="1" t="str">
        <f>HYPERLINK("http://apps.fcc.gov/ecfs/document/view?id=7520943021","District School Comment on E Rate NPRM  (1 page)")</f>
        <v>District School Comment on E Rate NPRM  (1 page)</v>
      </c>
      <c r="I710" s="1" t="str">
        <f>HYPERLINK("http://apps.fcc.gov/ecfs/document/view?id=7520942834","Wawasee Community School Corporation Comment on NPRM changes to Email and Web Ho (2 pages)")</f>
        <v>Wawasee Community School Corporation Comment on NPRM changes to Email and Web Ho (2 pages)</v>
      </c>
    </row>
    <row r="711" spans="1:9" ht="12.75">
      <c r="A711" t="s">
        <v>6</v>
      </c>
      <c r="B711" s="4" t="s">
        <v>904</v>
      </c>
      <c r="C711" t="s">
        <v>1068</v>
      </c>
      <c r="D711" t="s">
        <v>333</v>
      </c>
      <c r="E711" t="s">
        <v>333</v>
      </c>
      <c r="F711" t="s">
        <v>10</v>
      </c>
      <c r="G711" t="s">
        <v>11</v>
      </c>
      <c r="H711" s="1" t="str">
        <f>HYPERLINK("http://apps.fcc.gov/ecfs/document/view?id=7520943417","  (1 page)")</f>
        <v>  (1 page)</v>
      </c>
      <c r="I711" s="1" t="str">
        <f>HYPERLINK("http://apps.fcc.gov/ecfs/document/view?id=7520943448","  (1 page)")</f>
        <v>  (1 page)</v>
      </c>
    </row>
    <row r="712" spans="1:8" ht="12.75">
      <c r="A712" t="s">
        <v>6</v>
      </c>
      <c r="B712" s="4" t="s">
        <v>756</v>
      </c>
      <c r="D712" t="s">
        <v>755</v>
      </c>
      <c r="E712" t="s">
        <v>755</v>
      </c>
      <c r="F712" t="s">
        <v>10</v>
      </c>
      <c r="G712" t="s">
        <v>11</v>
      </c>
      <c r="H712" s="1" t="str">
        <f>HYPERLINK("http://apps.fcc.gov/ecfs/document/view?id=7520939842"," (1 page)")</f>
        <v> (1 page)</v>
      </c>
    </row>
    <row r="713" spans="1:12" ht="12.75">
      <c r="A713" t="s">
        <v>6</v>
      </c>
      <c r="B713" s="4" t="s">
        <v>684</v>
      </c>
      <c r="D713" t="s">
        <v>685</v>
      </c>
      <c r="E713" t="s">
        <v>673</v>
      </c>
      <c r="F713" t="s">
        <v>10</v>
      </c>
      <c r="G713" t="s">
        <v>11</v>
      </c>
      <c r="H713" s="1" t="str">
        <f>HYPERLINK("http://apps.fcc.gov/ecfs/document/view?id=7520942268","Whiteville City Schools Comment on NPRM changes to Email and Web Hosting (1 page)")</f>
        <v>Whiteville City Schools Comment on NPRM changes to Email and Web Hosting (1 page)</v>
      </c>
      <c r="L713" s="12" t="str">
        <f>HYPERLINK("http://www.e-ratecentral.com/FCC/ERate20NPRMComments/pdf/WhitevilleSchools_NPRM_9-16-2013.pdf","Whiteville City Schools (1 pages)")</f>
        <v>Whiteville City Schools (1 pages)</v>
      </c>
    </row>
    <row r="714" spans="1:8" ht="12.75">
      <c r="A714" t="s">
        <v>6</v>
      </c>
      <c r="B714" s="4" t="s">
        <v>769</v>
      </c>
      <c r="D714" t="s">
        <v>770</v>
      </c>
      <c r="E714" t="s">
        <v>768</v>
      </c>
      <c r="F714" t="s">
        <v>10</v>
      </c>
      <c r="G714" t="s">
        <v>11</v>
      </c>
      <c r="H714" s="1" t="str">
        <f>HYPERLINK("http://apps.fcc.gov/ecfs/document/view?id=7520938412"," (1 page)")</f>
        <v> (1 page)</v>
      </c>
    </row>
    <row r="715" spans="1:8" ht="12.75">
      <c r="A715" t="s">
        <v>6</v>
      </c>
      <c r="B715" s="4" t="s">
        <v>329</v>
      </c>
      <c r="D715" t="s">
        <v>21</v>
      </c>
      <c r="E715" t="s">
        <v>21</v>
      </c>
      <c r="F715" t="s">
        <v>10</v>
      </c>
      <c r="G715" t="s">
        <v>11</v>
      </c>
      <c r="H715" s="1" t="str">
        <f>HYPERLINK("http://apps.fcc.gov/ecfs/document/view?id=7520943720","  (1 page)")</f>
        <v>  (1 page)</v>
      </c>
    </row>
    <row r="716" spans="1:8" ht="12.75">
      <c r="A716" t="s">
        <v>6</v>
      </c>
      <c r="B716" s="4" t="s">
        <v>921</v>
      </c>
      <c r="C716" t="s">
        <v>691</v>
      </c>
      <c r="D716" t="s">
        <v>673</v>
      </c>
      <c r="E716" t="s">
        <v>673</v>
      </c>
      <c r="F716" t="s">
        <v>10</v>
      </c>
      <c r="G716" t="s">
        <v>11</v>
      </c>
      <c r="H716" s="1" t="str">
        <f>HYPERLINK("http://apps.fcc.gov/ecfs/document/view?id=7520942520","  (1 page)")</f>
        <v>  (1 page)</v>
      </c>
    </row>
    <row r="717" spans="1:8" ht="12.75">
      <c r="A717" t="s">
        <v>6</v>
      </c>
      <c r="B717" s="4" t="s">
        <v>25</v>
      </c>
      <c r="D717" t="s">
        <v>21</v>
      </c>
      <c r="E717" t="s">
        <v>9</v>
      </c>
      <c r="F717" t="s">
        <v>10</v>
      </c>
      <c r="G717" t="s">
        <v>11</v>
      </c>
      <c r="H717" s="1" t="str">
        <f>HYPERLINK("http://apps.fcc.gov/ecfs/document/view?id=7520943964","Wisconsin Rapids Public Schools Comment on NPRM changes to Erate Funding (1 page)")</f>
        <v>Wisconsin Rapids Public Schools Comment on NPRM changes to Erate Funding (1 page)</v>
      </c>
    </row>
    <row r="718" spans="1:8" ht="12.75">
      <c r="A718" t="s">
        <v>6</v>
      </c>
      <c r="B718" s="4" t="s">
        <v>823</v>
      </c>
      <c r="C718" t="s">
        <v>338</v>
      </c>
      <c r="D718" t="s">
        <v>333</v>
      </c>
      <c r="E718" t="s">
        <v>21</v>
      </c>
      <c r="F718" t="s">
        <v>10</v>
      </c>
      <c r="G718" t="s">
        <v>11</v>
      </c>
      <c r="H718" s="1" t="str">
        <f>HYPERLINK("http://apps.fcc.gov/ecfs/document/view?id=7520943489","ERate Letter from Tricia Louis Wonewoc Union Center School District (1 page)")</f>
        <v>ERate Letter from Tricia Louis Wonewoc Union Center School District (1 page)</v>
      </c>
    </row>
    <row r="719" spans="1:8" ht="12.75">
      <c r="A719" t="s">
        <v>6</v>
      </c>
      <c r="B719" s="4" t="s">
        <v>948</v>
      </c>
      <c r="C719" t="s">
        <v>539</v>
      </c>
      <c r="D719" t="s">
        <v>333</v>
      </c>
      <c r="E719" t="s">
        <v>333</v>
      </c>
      <c r="F719" t="s">
        <v>10</v>
      </c>
      <c r="G719" t="s">
        <v>11</v>
      </c>
      <c r="H719" s="1" t="str">
        <f>HYPERLINK("http://apps.fcc.gov/ecfs/document/view?id=7520943223","Yorktown CS on ERATE (1 page)")</f>
        <v>Yorktown CS on ERATE (1 page)</v>
      </c>
    </row>
    <row r="720" spans="1:8" ht="12.75">
      <c r="A720" t="s">
        <v>6</v>
      </c>
      <c r="B720" s="4" t="s">
        <v>916</v>
      </c>
      <c r="C720" t="s">
        <v>754</v>
      </c>
      <c r="D720" t="s">
        <v>755</v>
      </c>
      <c r="E720" t="s">
        <v>750</v>
      </c>
      <c r="F720" t="s">
        <v>10</v>
      </c>
      <c r="G720" t="s">
        <v>11</v>
      </c>
      <c r="H720" s="1" t="str">
        <f>HYPERLINK("http://apps.fcc.gov/ecfs/document/view?id=7520939931"," (1 page)")</f>
        <v> (1 page)</v>
      </c>
    </row>
    <row r="722" spans="12:14" ht="12.75">
      <c r="L722" s="11">
        <f>COUNTA(L4:L720)</f>
        <v>188</v>
      </c>
      <c r="M722" s="11">
        <f>COUNTA(M4:M720)</f>
        <v>3</v>
      </c>
      <c r="N722" s="11">
        <f>COUNTA(N4:N720)</f>
        <v>1</v>
      </c>
    </row>
    <row r="723" ht="12.75">
      <c r="M723" s="11"/>
    </row>
    <row r="724" ht="12.75">
      <c r="N724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57421875" style="0" customWidth="1"/>
    <col min="2" max="2" width="76.28125" style="0" customWidth="1"/>
    <col min="3" max="3" width="43.140625" style="0" customWidth="1"/>
    <col min="4" max="4" width="14.57421875" style="0" customWidth="1"/>
    <col min="5" max="5" width="12.421875" style="0" customWidth="1"/>
    <col min="6" max="6" width="8.140625" style="0" customWidth="1"/>
    <col min="7" max="7" width="15.8515625" style="0" customWidth="1"/>
    <col min="8" max="8" width="39.00390625" style="0" customWidth="1"/>
    <col min="9" max="13" width="16.00390625" style="0" customWidth="1"/>
  </cols>
  <sheetData>
    <row r="1" spans="1:8" ht="12.75">
      <c r="A1" s="2" t="s">
        <v>806</v>
      </c>
      <c r="B1" s="2" t="s">
        <v>0</v>
      </c>
      <c r="C1" s="2" t="s">
        <v>813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1158</v>
      </c>
    </row>
    <row r="2" spans="1:8" ht="12.75">
      <c r="A2" t="s">
        <v>6</v>
      </c>
      <c r="B2" t="s">
        <v>760</v>
      </c>
      <c r="D2" t="s">
        <v>761</v>
      </c>
      <c r="E2" t="s">
        <v>759</v>
      </c>
      <c r="F2" t="s">
        <v>341</v>
      </c>
      <c r="G2" t="s">
        <v>342</v>
      </c>
      <c r="H2" s="1" t="str">
        <f>HYPERLINK("http://apps.fcc.gov/ecfs/document/view?id=7520939603","  (2 pages)")</f>
        <v>  (2 pages)</v>
      </c>
    </row>
    <row r="3" spans="1:10" ht="12.75">
      <c r="A3" t="s">
        <v>6</v>
      </c>
      <c r="B3" t="s">
        <v>218</v>
      </c>
      <c r="C3" t="s">
        <v>219</v>
      </c>
      <c r="D3" t="s">
        <v>784</v>
      </c>
      <c r="E3" t="s">
        <v>784</v>
      </c>
      <c r="F3" t="s">
        <v>341</v>
      </c>
      <c r="G3" t="s">
        <v>342</v>
      </c>
      <c r="H3" s="1" t="str">
        <f>HYPERLINK("http://apps.fcc.gov/ecfs/document/view?id=7520937025","  (1 page)")</f>
        <v>  (1 page)</v>
      </c>
      <c r="I3" s="1" t="str">
        <f>HYPERLINK("http://apps.fcc.gov/ecfs/document/view?id=7520937026","  (1 page)")</f>
        <v>  (1 page)</v>
      </c>
      <c r="J3" s="1" t="str">
        <f>HYPERLINK("http://apps.fcc.gov/ecfs/document/view?id=7520937027","  (1 page)")</f>
        <v>  (1 page)</v>
      </c>
    </row>
    <row r="4" spans="1:8" ht="12.75">
      <c r="A4" t="s">
        <v>6</v>
      </c>
      <c r="B4" t="s">
        <v>212</v>
      </c>
      <c r="D4" t="s">
        <v>783</v>
      </c>
      <c r="E4" t="s">
        <v>783</v>
      </c>
      <c r="F4" t="s">
        <v>341</v>
      </c>
      <c r="G4" t="s">
        <v>342</v>
      </c>
      <c r="H4" s="1" t="str">
        <f>HYPERLINK("http://apps.fcc.gov/ecfs/document/view?id=7520937136","  (1 page)")</f>
        <v>  (1 page)</v>
      </c>
    </row>
    <row r="5" spans="1:8" ht="12.75">
      <c r="A5" t="s">
        <v>6</v>
      </c>
      <c r="B5" t="s">
        <v>209</v>
      </c>
      <c r="D5" t="s">
        <v>652</v>
      </c>
      <c r="E5" t="s">
        <v>598</v>
      </c>
      <c r="F5" t="s">
        <v>341</v>
      </c>
      <c r="G5" t="s">
        <v>342</v>
      </c>
      <c r="H5" s="1" t="str">
        <f>HYPERLINK("http://apps.fcc.gov/ecfs/document/view?id=7520942842","  (5 pages)")</f>
        <v>  (5 pages)</v>
      </c>
    </row>
    <row r="6" spans="1:8" ht="12.75">
      <c r="A6" t="s">
        <v>6</v>
      </c>
      <c r="B6" t="s">
        <v>208</v>
      </c>
      <c r="D6" t="s">
        <v>797</v>
      </c>
      <c r="E6" t="s">
        <v>797</v>
      </c>
      <c r="F6" t="s">
        <v>341</v>
      </c>
      <c r="G6" t="s">
        <v>342</v>
      </c>
      <c r="H6" s="1" t="str">
        <f>HYPERLINK("http://apps.fcc.gov/ecfs/document/view?id=7520934146","  (1 page)")</f>
        <v>  (1 page)</v>
      </c>
    </row>
    <row r="7" spans="1:9" ht="12.75">
      <c r="A7" t="s">
        <v>6</v>
      </c>
      <c r="B7" t="s">
        <v>785</v>
      </c>
      <c r="D7" t="s">
        <v>786</v>
      </c>
      <c r="E7" t="s">
        <v>784</v>
      </c>
      <c r="F7" t="s">
        <v>341</v>
      </c>
      <c r="G7" t="s">
        <v>342</v>
      </c>
      <c r="H7" s="1" t="str">
        <f>HYPERLINK("http://apps.fcc.gov/ecfs/document/view?id=7520936692","  (2 pages)")</f>
        <v>  (2 pages)</v>
      </c>
      <c r="I7" s="1" t="str">
        <f>HYPERLINK("http://apps.fcc.gov/ecfs/document/view?id=7520936694","  (2 pages)")</f>
        <v>  (2 pages)</v>
      </c>
    </row>
    <row r="8" spans="1:9" ht="12.75">
      <c r="A8" t="s">
        <v>6</v>
      </c>
      <c r="B8" t="s">
        <v>177</v>
      </c>
      <c r="D8" t="s">
        <v>792</v>
      </c>
      <c r="E8" t="s">
        <v>790</v>
      </c>
      <c r="F8" t="s">
        <v>341</v>
      </c>
      <c r="G8" t="s">
        <v>342</v>
      </c>
      <c r="H8" s="1" t="str">
        <f>HYPERLINK("http://apps.fcc.gov/ecfs/document/view?id=7520935220","  (2 pages)")</f>
        <v>  (2 pages)</v>
      </c>
      <c r="I8" s="1" t="str">
        <f>HYPERLINK("http://apps.fcc.gov/ecfs/document/view?id=7520935221","  (11 pages)")</f>
        <v>  (11 pages)</v>
      </c>
    </row>
    <row r="9" spans="1:8" ht="12.75">
      <c r="A9" t="s">
        <v>6</v>
      </c>
      <c r="B9" t="s">
        <v>793</v>
      </c>
      <c r="C9" t="s">
        <v>794</v>
      </c>
      <c r="D9" t="s">
        <v>792</v>
      </c>
      <c r="E9" t="s">
        <v>792</v>
      </c>
      <c r="F9" t="s">
        <v>341</v>
      </c>
      <c r="G9" t="s">
        <v>342</v>
      </c>
      <c r="H9" s="1" t="str">
        <f>HYPERLINK("http://apps.fcc.gov/ecfs/document/view?id=7520935127","  (2 pages)")</f>
        <v>  (2 pages)</v>
      </c>
    </row>
    <row r="10" spans="1:8" ht="12.75">
      <c r="A10" t="s">
        <v>6</v>
      </c>
      <c r="B10" t="s">
        <v>1091</v>
      </c>
      <c r="C10" t="s">
        <v>787</v>
      </c>
      <c r="D10" t="s">
        <v>788</v>
      </c>
      <c r="E10" t="s">
        <v>786</v>
      </c>
      <c r="F10" t="s">
        <v>341</v>
      </c>
      <c r="G10" t="s">
        <v>342</v>
      </c>
      <c r="H10" s="1" t="str">
        <f>HYPERLINK("http://apps.fcc.gov/ecfs/document/view?id=7520936442","  (1 page)")</f>
        <v>  (1 page)</v>
      </c>
    </row>
    <row r="11" spans="1:8" ht="12.75">
      <c r="A11" t="s">
        <v>6</v>
      </c>
      <c r="B11" t="s">
        <v>789</v>
      </c>
      <c r="D11" t="s">
        <v>790</v>
      </c>
      <c r="E11" t="s">
        <v>791</v>
      </c>
      <c r="F11" t="s">
        <v>341</v>
      </c>
      <c r="G11" t="s">
        <v>342</v>
      </c>
      <c r="H11" s="1" t="str">
        <f>HYPERLINK("http://apps.fcc.gov/ecfs/document/view?id=7520935865","  (2 pages)")</f>
        <v>  (2 pages)</v>
      </c>
    </row>
    <row r="12" spans="1:8" ht="12.75">
      <c r="A12" t="s">
        <v>6</v>
      </c>
      <c r="B12" t="s">
        <v>1090</v>
      </c>
      <c r="C12" t="s">
        <v>737</v>
      </c>
      <c r="D12" t="s">
        <v>738</v>
      </c>
      <c r="E12" t="s">
        <v>728</v>
      </c>
      <c r="F12" t="s">
        <v>341</v>
      </c>
      <c r="G12" t="s">
        <v>342</v>
      </c>
      <c r="H12" s="1" t="str">
        <f>HYPERLINK("http://apps.fcc.gov/ecfs/document/view?id=7520940239","Talking Points of discussion with Nicolas Degani (7 pages)")</f>
        <v>Talking Points of discussion with Nicolas Degani (7 pages)</v>
      </c>
    </row>
    <row r="13" spans="1:8" ht="12.75">
      <c r="A13" t="s">
        <v>6</v>
      </c>
      <c r="B13" t="s">
        <v>1085</v>
      </c>
      <c r="D13" t="s">
        <v>9</v>
      </c>
      <c r="E13" t="s">
        <v>1070</v>
      </c>
      <c r="F13" t="s">
        <v>341</v>
      </c>
      <c r="G13" t="s">
        <v>342</v>
      </c>
      <c r="H13" s="1" t="str">
        <f>HYPERLINK("http://apps.fcc.gov/ecfs/document/view?id=7520944334","  (2 pages)")</f>
        <v>  (2 pages)</v>
      </c>
    </row>
    <row r="14" spans="1:8" ht="12.75">
      <c r="A14" t="s">
        <v>6</v>
      </c>
      <c r="B14" t="s">
        <v>774</v>
      </c>
      <c r="C14" t="s">
        <v>775</v>
      </c>
      <c r="D14" t="s">
        <v>770</v>
      </c>
      <c r="E14" t="s">
        <v>768</v>
      </c>
      <c r="F14" t="s">
        <v>341</v>
      </c>
      <c r="G14" t="s">
        <v>342</v>
      </c>
      <c r="H14" s="1" t="str">
        <f>HYPERLINK("http://apps.fcc.gov/ecfs/document/view?id=7520938391","Notification of Ex Parte Presentation Commission Staff (19 pages)")</f>
        <v>Notification of Ex Parte Presentation Commission Staff (19 pages)</v>
      </c>
    </row>
    <row r="15" spans="1:8" ht="12.75">
      <c r="A15" t="s">
        <v>6</v>
      </c>
      <c r="B15" t="s">
        <v>774</v>
      </c>
      <c r="C15" t="s">
        <v>775</v>
      </c>
      <c r="D15" t="s">
        <v>770</v>
      </c>
      <c r="E15" t="s">
        <v>768</v>
      </c>
      <c r="F15" t="s">
        <v>341</v>
      </c>
      <c r="G15" t="s">
        <v>342</v>
      </c>
      <c r="H15" s="1" t="str">
        <f>HYPERLINK("http://apps.fcc.gov/ecfs/document/view?id=7520938387","Notification of Ex Parte Presentation Office of Commissioner Rosenworcel (19 pages)")</f>
        <v>Notification of Ex Parte Presentation Office of Commissioner Rosenworcel (19 pages)</v>
      </c>
    </row>
    <row r="16" spans="1:8" ht="12.75">
      <c r="A16" t="s">
        <v>6</v>
      </c>
      <c r="B16" t="s">
        <v>774</v>
      </c>
      <c r="C16" t="s">
        <v>775</v>
      </c>
      <c r="D16" t="s">
        <v>770</v>
      </c>
      <c r="E16" t="s">
        <v>768</v>
      </c>
      <c r="F16" t="s">
        <v>341</v>
      </c>
      <c r="G16" t="s">
        <v>342</v>
      </c>
      <c r="H16" s="1" t="str">
        <f>HYPERLINK("http://apps.fcc.gov/ecfs/document/view?id=7520938378","Notification of Ex Parte Presentation Office of Commissioner Pai (19 pages)")</f>
        <v>Notification of Ex Parte Presentation Office of Commissioner Pai (19 pages)</v>
      </c>
    </row>
    <row r="17" spans="1:8" ht="12.75">
      <c r="A17" t="s">
        <v>6</v>
      </c>
      <c r="B17" t="s">
        <v>91</v>
      </c>
      <c r="D17" t="s">
        <v>728</v>
      </c>
      <c r="E17" t="s">
        <v>728</v>
      </c>
      <c r="F17" t="s">
        <v>341</v>
      </c>
      <c r="G17" t="s">
        <v>342</v>
      </c>
      <c r="H17" s="1" t="str">
        <f>HYPERLINK("http://apps.fcc.gov/ecfs/document/view?id=7520940374","WC Docket 13 184 (1 page)")</f>
        <v>WC Docket 13 184 (1 page)</v>
      </c>
    </row>
    <row r="18" spans="1:8" ht="12.75">
      <c r="A18" t="s">
        <v>6</v>
      </c>
      <c r="B18" t="s">
        <v>89</v>
      </c>
      <c r="D18" t="s">
        <v>1070</v>
      </c>
      <c r="E18" t="s">
        <v>1109</v>
      </c>
      <c r="F18" t="s">
        <v>341</v>
      </c>
      <c r="G18" t="s">
        <v>342</v>
      </c>
      <c r="H18" s="1" t="str">
        <f>HYPERLINK("http://apps.fcc.gov/ecfs/document/view?id=7520944496","  (1 page)")</f>
        <v>  (1 page)</v>
      </c>
    </row>
    <row r="19" spans="1:8" ht="12.75">
      <c r="A19" t="s">
        <v>6</v>
      </c>
      <c r="B19" t="s">
        <v>782</v>
      </c>
      <c r="D19" t="s">
        <v>770</v>
      </c>
      <c r="E19" t="s">
        <v>770</v>
      </c>
      <c r="F19" t="s">
        <v>341</v>
      </c>
      <c r="G19" t="s">
        <v>342</v>
      </c>
      <c r="H19" s="1" t="str">
        <f>HYPERLINK("http://apps.fcc.gov/ecfs/document/view?id=7520938303","  (3 pages)")</f>
        <v>  (3 pages)</v>
      </c>
    </row>
    <row r="20" spans="1:8" ht="12.75">
      <c r="A20" t="s">
        <v>6</v>
      </c>
      <c r="B20" t="s">
        <v>782</v>
      </c>
      <c r="D20" t="s">
        <v>783</v>
      </c>
      <c r="E20" t="s">
        <v>783</v>
      </c>
      <c r="F20" t="s">
        <v>341</v>
      </c>
      <c r="G20" t="s">
        <v>342</v>
      </c>
      <c r="H20" s="1" t="str">
        <f>HYPERLINK("http://apps.fcc.gov/ecfs/document/view?id=7520937100","  (3 pages)")</f>
        <v>  (3 pages)</v>
      </c>
    </row>
    <row r="21" spans="1:8" ht="12.75">
      <c r="A21" t="s">
        <v>6</v>
      </c>
      <c r="B21" t="s">
        <v>782</v>
      </c>
      <c r="D21" t="s">
        <v>795</v>
      </c>
      <c r="E21" t="s">
        <v>796</v>
      </c>
      <c r="F21" t="s">
        <v>341</v>
      </c>
      <c r="G21" t="s">
        <v>342</v>
      </c>
      <c r="H21" s="1" t="str">
        <f>HYPERLINK("http://apps.fcc.gov/ecfs/document/view?id=7520934580","Mississippi School Districts Ex Parte (2 pages)")</f>
        <v>Mississippi School Districts Ex Parte (2 pages)</v>
      </c>
    </row>
    <row r="22" spans="1:8" ht="12.75">
      <c r="A22" t="s">
        <v>6</v>
      </c>
      <c r="B22" t="s">
        <v>782</v>
      </c>
      <c r="D22" t="s">
        <v>1109</v>
      </c>
      <c r="E22" t="s">
        <v>1109</v>
      </c>
      <c r="F22" t="s">
        <v>341</v>
      </c>
      <c r="G22" t="s">
        <v>342</v>
      </c>
      <c r="H22" s="1" t="str">
        <f>HYPERLINK("http://apps.fcc.gov/ecfs/document/view?id=7520944582","Massachusetts School District Ex Parte (4 pages)")</f>
        <v>Massachusetts School District Ex Parte (4 pages)</v>
      </c>
    </row>
    <row r="23" spans="1:13" ht="12.75">
      <c r="A23" t="s">
        <v>6</v>
      </c>
      <c r="B23" t="s">
        <v>270</v>
      </c>
      <c r="C23" t="s">
        <v>271</v>
      </c>
      <c r="D23" t="s">
        <v>21</v>
      </c>
      <c r="E23" t="s">
        <v>21</v>
      </c>
      <c r="F23" t="s">
        <v>341</v>
      </c>
      <c r="G23" t="s">
        <v>342</v>
      </c>
      <c r="H23" s="1" t="str">
        <f>HYPERLINK("http://apps.fcc.gov/ecfs/document/view?id=7520943539","  (2 pages)")</f>
        <v>  (2 pages)</v>
      </c>
      <c r="I23" s="1" t="str">
        <f>HYPERLINK("http://apps.fcc.gov/ecfs/document/view?id=7520943540","  (4 pages)")</f>
        <v>  (4 pages)</v>
      </c>
      <c r="J23" s="1" t="str">
        <f>HYPERLINK("http://apps.fcc.gov/ecfs/document/view?id=7520943541","  (11 pages)")</f>
        <v>  (11 pages)</v>
      </c>
      <c r="K23" s="1" t="str">
        <f>HYPERLINK("http://apps.fcc.gov/ecfs/document/view?id=7520943542","  (15 pages)")</f>
        <v>  (15 pages)</v>
      </c>
      <c r="L23" s="1" t="str">
        <f>HYPERLINK("http://apps.fcc.gov/ecfs/document/view?id=7520943543","  (8 pages)")</f>
        <v>  (8 pages)</v>
      </c>
      <c r="M23" s="1" t="str">
        <f>HYPERLINK("http://apps.fcc.gov/ecfs/document/view?id=7520943544","  (2 pages)")</f>
        <v>  (2 pages)</v>
      </c>
    </row>
    <row r="24" spans="1:13" ht="12.75">
      <c r="A24" t="s">
        <v>6</v>
      </c>
      <c r="B24" t="s">
        <v>270</v>
      </c>
      <c r="C24" t="s">
        <v>271</v>
      </c>
      <c r="D24" t="s">
        <v>21</v>
      </c>
      <c r="E24" t="s">
        <v>21</v>
      </c>
      <c r="F24" t="s">
        <v>341</v>
      </c>
      <c r="G24" t="s">
        <v>342</v>
      </c>
      <c r="H24" s="1" t="str">
        <f>HYPERLINK("http://apps.fcc.gov/ecfs/document/view?id=7520943533","  (1 page)")</f>
        <v>  (1 page)</v>
      </c>
      <c r="I24" s="1" t="str">
        <f>HYPERLINK("http://apps.fcc.gov/ecfs/document/view?id=7520943534","  (4 pages)")</f>
        <v>  (4 pages)</v>
      </c>
      <c r="J24" s="1" t="str">
        <f>HYPERLINK("http://apps.fcc.gov/ecfs/document/view?id=7520943535","  (11 pages)")</f>
        <v>  (11 pages)</v>
      </c>
      <c r="K24" s="1" t="str">
        <f>HYPERLINK("http://apps.fcc.gov/ecfs/document/view?id=7520943536","  (15 pages)")</f>
        <v>  (15 pages)</v>
      </c>
      <c r="L24" s="1" t="str">
        <f>HYPERLINK("http://apps.fcc.gov/ecfs/document/view?id=7520943537","  (8 pages)")</f>
        <v>  (8 pages)</v>
      </c>
      <c r="M24" s="1" t="str">
        <f>HYPERLINK("http://apps.fcc.gov/ecfs/document/view?id=7520943538","  (2 pages)")</f>
        <v>  (2 pages)</v>
      </c>
    </row>
    <row r="25" spans="1:13" ht="12.75">
      <c r="A25" t="s">
        <v>6</v>
      </c>
      <c r="B25" t="s">
        <v>270</v>
      </c>
      <c r="C25" t="s">
        <v>271</v>
      </c>
      <c r="D25" t="s">
        <v>21</v>
      </c>
      <c r="E25" t="s">
        <v>21</v>
      </c>
      <c r="F25" t="s">
        <v>341</v>
      </c>
      <c r="G25" t="s">
        <v>342</v>
      </c>
      <c r="H25" s="1" t="str">
        <f>HYPERLINK("http://apps.fcc.gov/ecfs/document/view?id=7520943527","  (1 page)")</f>
        <v>  (1 page)</v>
      </c>
      <c r="I25" s="1" t="str">
        <f>HYPERLINK("http://apps.fcc.gov/ecfs/document/view?id=7520943528","  (4 pages)")</f>
        <v>  (4 pages)</v>
      </c>
      <c r="J25" s="1" t="str">
        <f>HYPERLINK("http://apps.fcc.gov/ecfs/document/view?id=7520943529","  (11 pages)")</f>
        <v>  (11 pages)</v>
      </c>
      <c r="K25" s="1" t="str">
        <f>HYPERLINK("http://apps.fcc.gov/ecfs/document/view?id=7520943530","  (15 pages)")</f>
        <v>  (15 pages)</v>
      </c>
      <c r="L25" s="1" t="str">
        <f>HYPERLINK("http://apps.fcc.gov/ecfs/document/view?id=7520943531","  (8 pages)")</f>
        <v>  (8 pages)</v>
      </c>
      <c r="M25" s="1" t="str">
        <f>HYPERLINK("http://apps.fcc.gov/ecfs/document/view?id=7520943532","  (2 pages)")</f>
        <v>  (2 pages)</v>
      </c>
    </row>
    <row r="26" spans="1:13" ht="12.75">
      <c r="A26" t="s">
        <v>6</v>
      </c>
      <c r="B26" t="s">
        <v>270</v>
      </c>
      <c r="C26" t="s">
        <v>271</v>
      </c>
      <c r="D26" t="s">
        <v>21</v>
      </c>
      <c r="E26" t="s">
        <v>21</v>
      </c>
      <c r="F26" t="s">
        <v>341</v>
      </c>
      <c r="G26" t="s">
        <v>342</v>
      </c>
      <c r="H26" s="1" t="str">
        <f>HYPERLINK("http://apps.fcc.gov/ecfs/document/view?id=7520943521","  (1 page)")</f>
        <v>  (1 page)</v>
      </c>
      <c r="I26" s="1" t="str">
        <f>HYPERLINK("http://apps.fcc.gov/ecfs/document/view?id=7520943522","  (4 pages)")</f>
        <v>  (4 pages)</v>
      </c>
      <c r="J26" s="1" t="str">
        <f>HYPERLINK("http://apps.fcc.gov/ecfs/document/view?id=7520943523","  (11 pages)")</f>
        <v>  (11 pages)</v>
      </c>
      <c r="K26" s="1" t="str">
        <f>HYPERLINK("http://apps.fcc.gov/ecfs/document/view?id=7520943524","  (15 pages)")</f>
        <v>  (15 pages)</v>
      </c>
      <c r="L26" s="1" t="str">
        <f>HYPERLINK("http://apps.fcc.gov/ecfs/document/view?id=7520943525","  (8 pages)")</f>
        <v>  (8 pages)</v>
      </c>
      <c r="M26" s="1" t="str">
        <f>HYPERLINK("http://apps.fcc.gov/ecfs/document/view?id=7520943526","  (2 pages)")</f>
        <v>  (2 pages)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57421875" style="0" customWidth="1"/>
    <col min="2" max="2" width="76.28125" style="0" customWidth="1"/>
    <col min="3" max="3" width="43.140625" style="0" customWidth="1"/>
    <col min="4" max="4" width="14.57421875" style="0" customWidth="1"/>
    <col min="5" max="5" width="12.421875" style="0" customWidth="1"/>
    <col min="6" max="6" width="8.140625" style="0" customWidth="1"/>
    <col min="7" max="7" width="15.8515625" style="0" customWidth="1"/>
    <col min="8" max="8" width="39.00390625" style="0" customWidth="1"/>
    <col min="9" max="13" width="16.00390625" style="0" customWidth="1"/>
  </cols>
  <sheetData>
    <row r="1" spans="1:8" ht="12.75">
      <c r="A1" s="2" t="s">
        <v>806</v>
      </c>
      <c r="B1" s="2" t="s">
        <v>0</v>
      </c>
      <c r="C1" s="2" t="s">
        <v>813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1158</v>
      </c>
    </row>
    <row r="2" spans="1:8" ht="12.75">
      <c r="A2" t="s">
        <v>6</v>
      </c>
      <c r="B2" t="s">
        <v>1107</v>
      </c>
      <c r="D2" t="s">
        <v>1105</v>
      </c>
      <c r="E2" t="s">
        <v>1105</v>
      </c>
      <c r="F2" t="s">
        <v>10</v>
      </c>
      <c r="G2" t="s">
        <v>1106</v>
      </c>
      <c r="H2" s="1" t="str">
        <f>HYPERLINK("http://apps.fcc.gov/ecfs/document/view?id=7520944764","  (1 page)")</f>
        <v>  (1 page)</v>
      </c>
    </row>
    <row r="3" spans="1:8" ht="12.75">
      <c r="A3" t="s">
        <v>6</v>
      </c>
      <c r="B3" t="s">
        <v>1104</v>
      </c>
      <c r="D3" t="s">
        <v>1105</v>
      </c>
      <c r="E3" t="s">
        <v>1105</v>
      </c>
      <c r="F3" t="s">
        <v>10</v>
      </c>
      <c r="G3" t="s">
        <v>1106</v>
      </c>
      <c r="H3" s="1" t="str">
        <f>HYPERLINK("http://apps.fcc.gov/ecfs/document/view?id=7520944763","  (1 page)")</f>
        <v>  (1 page)</v>
      </c>
    </row>
    <row r="4" ht="12.75">
      <c r="H4" s="1"/>
    </row>
    <row r="5" ht="12.75">
      <c r="H5" s="1"/>
    </row>
    <row r="6" spans="8:9" ht="12.75">
      <c r="H6" s="1"/>
      <c r="I6" s="1"/>
    </row>
    <row r="7" spans="8:9" ht="12.75">
      <c r="H7" s="1"/>
      <c r="I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spans="8:13" ht="12.75">
      <c r="H20" s="1"/>
      <c r="I20" s="1"/>
      <c r="J20" s="1"/>
      <c r="K20" s="1"/>
      <c r="L20" s="1"/>
      <c r="M20" s="1"/>
    </row>
    <row r="21" spans="8:13" ht="12.75">
      <c r="H21" s="1"/>
      <c r="I21" s="1"/>
      <c r="J21" s="1"/>
      <c r="K21" s="1"/>
      <c r="L21" s="1"/>
      <c r="M21" s="1"/>
    </row>
    <row r="22" spans="8:13" ht="12.75">
      <c r="H22" s="1"/>
      <c r="I22" s="1"/>
      <c r="J22" s="1"/>
      <c r="K22" s="1"/>
      <c r="L22" s="1"/>
      <c r="M22" s="1"/>
    </row>
    <row r="23" spans="8:13" ht="12.75">
      <c r="H23" s="1"/>
      <c r="I23" s="1"/>
      <c r="J23" s="1"/>
      <c r="K23" s="1"/>
      <c r="L23" s="1"/>
      <c r="M2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4.8515625" style="0" customWidth="1"/>
    <col min="3" max="3" width="14.28125" style="0" hidden="1" customWidth="1"/>
  </cols>
  <sheetData>
    <row r="2" spans="1:3" ht="12.75">
      <c r="A2" s="18" t="s">
        <v>1164</v>
      </c>
      <c r="C2" s="4" t="s">
        <v>1166</v>
      </c>
    </row>
    <row r="3" spans="1:3" ht="12.75">
      <c r="A3" s="16" t="s">
        <v>1161</v>
      </c>
      <c r="B3" s="11">
        <f>COUNTA('Comments (2)'!B3:B201)</f>
        <v>197</v>
      </c>
      <c r="C3" s="11">
        <f>COUNTA('Comments (2)'!L3:O201)</f>
        <v>159</v>
      </c>
    </row>
    <row r="4" spans="1:3" ht="12.75">
      <c r="A4" s="16" t="s">
        <v>1163</v>
      </c>
      <c r="B4" s="11">
        <f>COUNTA('Comments (2)'!B202:B324)</f>
        <v>121</v>
      </c>
      <c r="C4" s="11">
        <f>COUNTA('Comments (2)'!L202:O324)</f>
        <v>16</v>
      </c>
    </row>
    <row r="5" spans="1:3" ht="12.75">
      <c r="A5" s="16" t="s">
        <v>1162</v>
      </c>
      <c r="B5" s="11">
        <f>COUNTA('Comments (2)'!B325:B721)</f>
        <v>395</v>
      </c>
      <c r="C5" s="11">
        <f>COUNTA('Comments (2)'!L325:O721)</f>
        <v>17</v>
      </c>
    </row>
    <row r="6" spans="1:3" ht="12.75">
      <c r="A6" s="17"/>
      <c r="B6" s="6">
        <f>SUM(B3:B5)</f>
        <v>713</v>
      </c>
      <c r="C6" s="15">
        <f>SUM(C3:C5)</f>
        <v>192</v>
      </c>
    </row>
    <row r="8" spans="1:2" ht="12.75">
      <c r="A8" s="19" t="s">
        <v>1165</v>
      </c>
      <c r="B8">
        <f>COUNTA('Ex Parte'!B2:B30)</f>
        <v>25</v>
      </c>
    </row>
    <row r="10" spans="1:2" ht="12.75">
      <c r="A10" s="19" t="s">
        <v>1167</v>
      </c>
      <c r="B10">
        <f>COUNTA('Reply Comments'!B2:B8)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 E. Himsworth</dc:creator>
  <cp:keywords/>
  <dc:description/>
  <cp:lastModifiedBy>William C. Weippert</cp:lastModifiedBy>
  <dcterms:created xsi:type="dcterms:W3CDTF">2013-09-18T13:05:57Z</dcterms:created>
  <dcterms:modified xsi:type="dcterms:W3CDTF">2013-10-21T13:34:34Z</dcterms:modified>
  <cp:category/>
  <cp:version/>
  <cp:contentType/>
  <cp:contentStatus/>
</cp:coreProperties>
</file>